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ddie\Desktop\Laparodome Handoff Material\"/>
    </mc:Choice>
  </mc:AlternateContent>
  <xr:revisionPtr revIDLastSave="0" documentId="13_ncr:1_{87EC0953-0729-4CCC-97E3-4562A7BEFA20}" xr6:coauthVersionLast="44" xr6:coauthVersionMax="44" xr10:uidLastSave="{00000000-0000-0000-0000-000000000000}"/>
  <bookViews>
    <workbookView xWindow="-98" yWindow="-98" windowWidth="24196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F37" i="1"/>
  <c r="G34" i="1"/>
  <c r="D28" i="1"/>
  <c r="D27" i="1"/>
  <c r="D30" i="1" s="1"/>
  <c r="K21" i="1"/>
  <c r="J21" i="1"/>
  <c r="H21" i="1"/>
  <c r="I21" i="1" s="1"/>
  <c r="G21" i="1"/>
  <c r="F21" i="1"/>
  <c r="J20" i="1"/>
  <c r="K20" i="1" s="1"/>
  <c r="H20" i="1"/>
  <c r="F20" i="1"/>
  <c r="G20" i="1" s="1"/>
  <c r="E20" i="1"/>
  <c r="I20" i="1" s="1"/>
  <c r="J19" i="1"/>
  <c r="K19" i="1" s="1"/>
  <c r="H19" i="1"/>
  <c r="I19" i="1" s="1"/>
  <c r="F19" i="1"/>
  <c r="G19" i="1" s="1"/>
  <c r="E19" i="1"/>
  <c r="J18" i="1"/>
  <c r="H18" i="1"/>
  <c r="I18" i="1" s="1"/>
  <c r="K18" i="1" s="1"/>
  <c r="G18" i="1"/>
  <c r="F18" i="1"/>
  <c r="K17" i="1"/>
  <c r="I17" i="1"/>
  <c r="G17" i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K14" i="1" s="1"/>
  <c r="H14" i="1"/>
  <c r="I14" i="1" s="1"/>
  <c r="F14" i="1"/>
  <c r="G14" i="1" s="1"/>
  <c r="J13" i="1"/>
  <c r="K13" i="1" s="1"/>
  <c r="H13" i="1"/>
  <c r="I13" i="1" s="1"/>
  <c r="F13" i="1"/>
  <c r="G13" i="1" s="1"/>
  <c r="E13" i="1"/>
  <c r="J12" i="1"/>
  <c r="K12" i="1" s="1"/>
  <c r="H12" i="1"/>
  <c r="F12" i="1"/>
  <c r="G12" i="1" s="1"/>
  <c r="E12" i="1"/>
  <c r="I12" i="1" s="1"/>
  <c r="J11" i="1"/>
  <c r="K11" i="1" s="1"/>
  <c r="H11" i="1"/>
  <c r="I11" i="1" s="1"/>
  <c r="F11" i="1"/>
  <c r="G11" i="1" s="1"/>
  <c r="E11" i="1"/>
  <c r="K10" i="1"/>
  <c r="J10" i="1"/>
  <c r="H10" i="1"/>
  <c r="I10" i="1" s="1"/>
  <c r="G10" i="1"/>
  <c r="F10" i="1"/>
  <c r="J9" i="1"/>
  <c r="K9" i="1" s="1"/>
  <c r="H9" i="1"/>
  <c r="F9" i="1"/>
  <c r="G9" i="1" s="1"/>
  <c r="E9" i="1"/>
  <c r="I9" i="1" s="1"/>
  <c r="F8" i="1"/>
  <c r="G8" i="1" s="1"/>
  <c r="J7" i="1"/>
  <c r="K7" i="1" s="1"/>
  <c r="H7" i="1"/>
  <c r="I7" i="1" s="1"/>
  <c r="F7" i="1"/>
  <c r="G7" i="1" s="1"/>
  <c r="E7" i="1"/>
  <c r="J6" i="1"/>
  <c r="K6" i="1" s="1"/>
  <c r="I6" i="1"/>
  <c r="H6" i="1"/>
  <c r="F6" i="1"/>
  <c r="G6" i="1" s="1"/>
  <c r="K5" i="1"/>
  <c r="J5" i="1"/>
  <c r="H5" i="1"/>
  <c r="I5" i="1" s="1"/>
  <c r="G5" i="1"/>
  <c r="F5" i="1"/>
  <c r="E5" i="1"/>
  <c r="J4" i="1"/>
  <c r="K4" i="1" s="1"/>
  <c r="H4" i="1"/>
  <c r="F4" i="1"/>
  <c r="G4" i="1" s="1"/>
  <c r="E4" i="1"/>
  <c r="I4" i="1" s="1"/>
  <c r="I23" i="1" s="1"/>
  <c r="G23" i="1" l="1"/>
  <c r="K23" i="1"/>
</calcChain>
</file>

<file path=xl/sharedStrings.xml><?xml version="1.0" encoding="utf-8"?>
<sst xmlns="http://schemas.openxmlformats.org/spreadsheetml/2006/main" count="186" uniqueCount="91">
  <si>
    <t>Required Components</t>
  </si>
  <si>
    <t>Structure</t>
  </si>
  <si>
    <t>Component</t>
  </si>
  <si>
    <t>Material</t>
  </si>
  <si>
    <t>Units</t>
  </si>
  <si>
    <t>Quantity</t>
  </si>
  <si>
    <t>50 Unit Production</t>
  </si>
  <si>
    <t>100 Unit Production</t>
  </si>
  <si>
    <t>1000 Unit Production</t>
  </si>
  <si>
    <t>Notes</t>
  </si>
  <si>
    <t xml:space="preserve">Finalized in Design? </t>
  </si>
  <si>
    <t>Link</t>
  </si>
  <si>
    <t>Unit Cost</t>
  </si>
  <si>
    <t>Total Cost</t>
  </si>
  <si>
    <t>Base</t>
  </si>
  <si>
    <t>Cardboard</t>
  </si>
  <si>
    <t>Sq In</t>
  </si>
  <si>
    <t xml:space="preserve">ULINE - $57 for 40-26x38" sheets, $52 for 120 sheets, $47 for 200+ sheets excluded $30 shipping </t>
  </si>
  <si>
    <t>Yes</t>
  </si>
  <si>
    <t>https://www.uline.com/Product/Detail/S-21527/Corrugated-Pads/26-x-38-Chipboard-Pads-050-thick</t>
  </si>
  <si>
    <t>Task Securing</t>
  </si>
  <si>
    <t>Velcro - on Base</t>
  </si>
  <si>
    <t>90 sq in of velcro for $6.22, no change with production scaling</t>
  </si>
  <si>
    <t>https://www.amazon.com/VELCRO-Brand-Sticky-Fasteners-Perfect/dp/B00006IC2M/ref=sr_1_2_sspa?keywords=velcro+strips&amp;qid=1581276403&amp;s=office-products&amp;sr=1-2-spons&amp;psc=1&amp;spLa=ZW5jcnlwdGVkUXVhbGlmaWVyPUExNEg5MFFDUURNT0VaJmVuY3J5cHRlZElkPUEwMDg4ODQ3M1VOTEU3VkhDSjAxVCZlbmNyeXB0ZWRBZElkPUExMDEyNzQyMzhIMzgyRlBZOUc1UyZ3aWRnZXROYW1lPXNwX2F0ZiZhY3Rpb249Y2xpY2tSZWRpcmVjdCZkb05vdExvZ0NsaWNrPXRydWU=</t>
  </si>
  <si>
    <t>Table Securing</t>
  </si>
  <si>
    <t>Suction Cups</t>
  </si>
  <si>
    <t xml:space="preserve">45 mm (1.75"), minimum $120 for pack of 500, excluded $20 shipping </t>
  </si>
  <si>
    <t>https://suctioncups.com/collections/medium/products/medium-cup-with-nubs</t>
  </si>
  <si>
    <t>Dome</t>
  </si>
  <si>
    <t>Dome + Tabs</t>
  </si>
  <si>
    <t>Camera Holder</t>
  </si>
  <si>
    <t>Phone Holder</t>
  </si>
  <si>
    <t>Trocars</t>
  </si>
  <si>
    <t>Rubber Grommets w/ .25 in. hole</t>
  </si>
  <si>
    <t>McMaster Carr, $4.92 for pack of 50, ID = 0.25", OD = 0.6125", no change with production scaling</t>
  </si>
  <si>
    <t>https://www.mcmaster.com/9307k13</t>
  </si>
  <si>
    <t>Tasks</t>
  </si>
  <si>
    <t>Task Platform</t>
  </si>
  <si>
    <t>Peg Board</t>
  </si>
  <si>
    <t>Velcro - Task Boxes to Base</t>
  </si>
  <si>
    <t>Peg Transfer Objects</t>
  </si>
  <si>
    <t>Pencil Grip</t>
  </si>
  <si>
    <t>Grips</t>
  </si>
  <si>
    <t>pack of 200, each one creates 3 objects - total of 600 per order, no change with production scaling</t>
  </si>
  <si>
    <t>https://www.amazon.com/Classics-Triangle-Pencil-1-75-Inch-TPG-16212/dp/B003BNBX68/ref=sr_1_3?keywords=triangle%2Bpencil%2Bgrips&amp;qid=1574185684&amp;sr=8-3&amp;th=1</t>
  </si>
  <si>
    <t>Peg Transfer Pegs</t>
  </si>
  <si>
    <t>Wooden Dowels (1-in.)</t>
  </si>
  <si>
    <t>Dowel</t>
  </si>
  <si>
    <t>diameter: 3 mm, length: 50 mm , each rod make 6 dowels, pack of 100, no change with production scaling</t>
  </si>
  <si>
    <t>https://www.amazon.com/Dowel-Rods-30cm-3mm%C3%98-Building-Wedding/dp/B077YWGGT2/</t>
  </si>
  <si>
    <t>Pattern Cut</t>
  </si>
  <si>
    <t>Gauze (4 x 4 in., 2 ply)</t>
  </si>
  <si>
    <t>Piece</t>
  </si>
  <si>
    <t>$7 for pack of 200, no change with production scaling</t>
  </si>
  <si>
    <t>https://www.amazon.com/Medline-Avant-Non-Woven-Non-Sterile-Sponges/dp/B00CSO8FSU/ref=sr_1_7?keywords=4x4+4+ply+gauze&amp;qid=1574713585&amp;sr=8-7</t>
  </si>
  <si>
    <t>Pattern Cut Stamp</t>
  </si>
  <si>
    <t>Stencil</t>
  </si>
  <si>
    <t>Unit</t>
  </si>
  <si>
    <t>3D printing ring, PLA, material not critical, no change with production scaling</t>
  </si>
  <si>
    <t>OEDK printing</t>
  </si>
  <si>
    <t>Pattern Securing</t>
  </si>
  <si>
    <t>Chip Clip</t>
  </si>
  <si>
    <t>$140 for 250, $275 for 500, $530 for 1000 excluding $66 in shipping + fees</t>
  </si>
  <si>
    <t>https://www.4allpromos.com/product/4-inch-bag-clip?default-tier=sample&amp;default-qty=1&amp;mkwid=sTyTxvRCJ|pcrid|322811728040|pmt||pkw||pdv|c|product|313-194-SAMPLE|slid||&amp;pgrid=63991977789&amp;ptaid=pla-294682000766&amp;st-t=ppc&amp;vt-k=&amp;utm_source=google&amp;utm_medium=cpc&amp;gclid=CjwKCAjwmKLzBRBeEiwACCVihkGxuKryRLxr_Gehyagu30GYjyRNniqQJavFfLjuhaUO-QwaWJITvBoCZewQAvD_BwE</t>
  </si>
  <si>
    <t>Velcro - Chip Clip</t>
  </si>
  <si>
    <t>Velcro - Penrose + Suturing Platform</t>
  </si>
  <si>
    <t>Suturing Vessels</t>
  </si>
  <si>
    <t>Penrose w / dots</t>
  </si>
  <si>
    <t>pack of 25, each can be cut into 10 drains</t>
  </si>
  <si>
    <t>https://www.amazon.com/Medline-DYND50422-Sterile-Penrose-Drains/dp/B004GCA58U/ref=sr_1_2?keywords=penrose+drain&amp;qid=1575394745&amp;sr=8-2</t>
  </si>
  <si>
    <t>Total Materials Cost</t>
  </si>
  <si>
    <t>Labor Costs</t>
  </si>
  <si>
    <t>Task</t>
  </si>
  <si>
    <t>Time (hours)</t>
  </si>
  <si>
    <t>Rate ($/hr)</t>
  </si>
  <si>
    <t>Laser Cutting</t>
  </si>
  <si>
    <t>Based on BLS Hourly Wage for 51-9032 Cutting and Slicing Machine Setters, Operators, and Tenders</t>
  </si>
  <si>
    <t>Task Preparation</t>
  </si>
  <si>
    <t>Total Labor Cost</t>
  </si>
  <si>
    <t>Optional Purchases</t>
  </si>
  <si>
    <t>Camera</t>
  </si>
  <si>
    <t>USB Camera</t>
  </si>
  <si>
    <t>https://www.amazon.com/ELP-megapixel-Camera-Module-120degree/dp/B01DRJXDEA/ref=asc_df_B01DRJXDEA/?tag=hyprod-20&amp;linkCode=df0&amp;hvadid=167145239216&amp;hvpos=&amp;hvnetw=g&amp;hvrand=14766046931079861804&amp;hvpone=&amp;hvptwo=&amp;hvqmt=&amp;hvdev=c&amp;hvdvcmdl=&amp;hvlocint=&amp;hvlocphy=9027605&amp;hvtargid=pla-314556352491&amp;th=1</t>
  </si>
  <si>
    <t>Sutures</t>
  </si>
  <si>
    <t>Ligating Loop</t>
  </si>
  <si>
    <t>Endoloop</t>
  </si>
  <si>
    <t>Ligating Loop Foam Fingers</t>
  </si>
  <si>
    <t>Foam Paintbrush w / mark</t>
  </si>
  <si>
    <t>example, pack of 36</t>
  </si>
  <si>
    <t>Keep?</t>
  </si>
  <si>
    <t>https://www.amazon.com/Lightweight-Durable-Acrylics-Varnishes-Polyurethane/dp/B01MS73FT1/ref=sr_1_1?keywords=foam+paint+brush+3+inch&amp;qid=1581276701&amp;s=office-products&amp;sr=1-1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</si>
</sst>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0"/>
    <numFmt numFmtId="165" formatCode="&quot;$&quot;#,##0.00"/>
    <numFmt numFmtId="166" formatCode="&quot;$&quot;#,##0"/>
  </numFmts>
  <fonts count="6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  <fill>
      <patternFill patternType="solid">
        <fgColor rgb="FFF8F8F8"/>
        <bgColor rgb="FFF8F8F8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/>
    <xf numFmtId="2" fontId="3" fillId="0" borderId="0" xfId="0" applyNumberFormat="1" applyFont="1" applyAlignme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/>
    <xf numFmtId="2" fontId="3" fillId="0" borderId="0" xfId="0" applyNumberFormat="1" applyFont="1"/>
    <xf numFmtId="164" fontId="3" fillId="0" borderId="0" xfId="0" applyNumberFormat="1" applyFont="1" applyAlignment="1"/>
    <xf numFmtId="0" fontId="3" fillId="0" borderId="0" xfId="0" applyFont="1"/>
    <xf numFmtId="0" fontId="5" fillId="4" borderId="0" xfId="0" applyFont="1" applyFill="1" applyAlignment="1"/>
    <xf numFmtId="0" fontId="2" fillId="5" borderId="0" xfId="0" applyFont="1" applyFill="1" applyAlignment="1"/>
    <xf numFmtId="0" fontId="3" fillId="5" borderId="0" xfId="0" applyFont="1" applyFill="1"/>
    <xf numFmtId="165" fontId="3" fillId="5" borderId="0" xfId="0" applyNumberFormat="1" applyFont="1" applyFill="1"/>
    <xf numFmtId="166" fontId="3" fillId="0" borderId="0" xfId="0" applyNumberFormat="1" applyFont="1" applyAlignment="1"/>
    <xf numFmtId="166" fontId="3" fillId="0" borderId="0" xfId="0" applyNumberFormat="1" applyFont="1"/>
    <xf numFmtId="166" fontId="3" fillId="5" borderId="0" xfId="0" applyNumberFormat="1" applyFont="1" applyFill="1"/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line.com/Product/Detail/S-21527/Corrugated-Pads/26-x-38-Chipboard-Pads-050-thick" TargetMode="External"/><Relationship Id="rId13" Type="http://schemas.openxmlformats.org/officeDocument/2006/relationships/hyperlink" Target="https://www.amazon.com/Medline-Avant-Non-Woven-Non-Sterile-Sponges/dp/B00CSO8FSU/ref=sr_1_7?keywords=4x4+4+ply+gauze&amp;qid=1574713585&amp;sr=8-7" TargetMode="External"/><Relationship Id="rId18" Type="http://schemas.openxmlformats.org/officeDocument/2006/relationships/hyperlink" Target="https://www.amazon.com/ELP-megapixel-Camera-Module-120degree/dp/B01DRJXDEA/ref=asc_df_B01DRJXDEA/?tag=hyprod-20&amp;linkCode=df0&amp;hvadid=167145239216&amp;hvpos=&amp;hvnetw=g&amp;hvrand=14766046931079861804&amp;hvpone=&amp;hvptwo=&amp;hvqmt=&amp;hvdev=c&amp;hvdvcmdl=&amp;hvlocint=&amp;hvlocphy=9027605&amp;hvtargid=pla-314556352491&amp;th=1" TargetMode="External"/><Relationship Id="rId3" Type="http://schemas.openxmlformats.org/officeDocument/2006/relationships/hyperlink" Target="https://suctioncups.com/collections/medium/products/medium-cup-with-nubs" TargetMode="External"/><Relationship Id="rId7" Type="http://schemas.openxmlformats.org/officeDocument/2006/relationships/hyperlink" Target="https://www.mcmaster.com/9307k13" TargetMode="External"/><Relationship Id="rId12" Type="http://schemas.openxmlformats.org/officeDocument/2006/relationships/hyperlink" Target="https://www.amazon.com/Dowel-Rods-30cm-3mm%C3%98-Building-Wedding/dp/B077YWGGT2/" TargetMode="External"/><Relationship Id="rId17" Type="http://schemas.openxmlformats.org/officeDocument/2006/relationships/hyperlink" Target="https://www.amazon.com/Medline-DYND50422-Sterile-Penrose-Drains/dp/B004GCA58U/ref=sr_1_2?keywords=penrose+drain&amp;qid=1575394745&amp;sr=8-2" TargetMode="External"/><Relationship Id="rId2" Type="http://schemas.openxmlformats.org/officeDocument/2006/relationships/hyperlink" Target="https://www.amazon.com/VELCRO-Brand-Sticky-Fasteners-Perfect/dp/B00006IC2M/ref=sr_1_2_sspa?keywords=velcro+strips&amp;qid=1581276403&amp;s=office-products&amp;sr=1-2-spons&amp;psc=1&amp;spLa=ZW5jcnlwdGVkUXVhbGlmaWVyPUExNEg5MFFDUURNT0VaJmVuY3J5cHRlZElkPUEwMDg4ODQ3M1VOTEU3VkhDSjAxVCZlbmNyeXB0ZWRBZElkPUExMDEyNzQyMzhIMzgyRlBZOUc1UyZ3aWRnZXROYW1lPXNwX2F0ZiZhY3Rpb249Y2xpY2tSZWRpcmVjdCZkb05vdExvZ0NsaWNrPXRydWU=" TargetMode="External"/><Relationship Id="rId16" Type="http://schemas.openxmlformats.org/officeDocument/2006/relationships/hyperlink" Target="https://www.amazon.com/VELCRO-Brand-Sticky-Fasteners-Perfect/dp/B00006IC2M/ref=sr_1_2_sspa?keywords=velcro+strips&amp;qid=1581276403&amp;s=office-products&amp;sr=1-2-spons&amp;psc=1&amp;spLa=ZW5jcnlwdGVkUXVhbGlmaWVyPUExNEg5MFFDUURNT0VaJmVuY3J5cHRlZElkPUEwMDg4ODQ3M1VOTEU3VkhDSjAxVCZlbmNyeXB0ZWRBZElkPUExMDEyNzQyMzhIMzgyRlBZOUc1UyZ3aWRnZXROYW1lPXNwX2F0ZiZhY3Rpb249Y2xpY2tSZWRpcmVjdCZkb05vdExvZ0NsaWNrPXRydWU=" TargetMode="External"/><Relationship Id="rId1" Type="http://schemas.openxmlformats.org/officeDocument/2006/relationships/hyperlink" Target="https://www.uline.com/Product/Detail/S-21527/Corrugated-Pads/26-x-38-Chipboard-Pads-050-thick" TargetMode="External"/><Relationship Id="rId6" Type="http://schemas.openxmlformats.org/officeDocument/2006/relationships/hyperlink" Target="https://www.uline.com/Product/Detail/S-21527/Corrugated-Pads/26-x-38-Chipboard-Pads-050-thick" TargetMode="External"/><Relationship Id="rId11" Type="http://schemas.openxmlformats.org/officeDocument/2006/relationships/hyperlink" Target="https://www.amazon.com/Classics-Triangle-Pencil-1-75-Inch-TPG-16212/dp/B003BNBX68/ref=sr_1_3?keywords=triangle%2Bpencil%2Bgrips&amp;qid=1574185684&amp;sr=8-3&amp;th=1" TargetMode="External"/><Relationship Id="rId5" Type="http://schemas.openxmlformats.org/officeDocument/2006/relationships/hyperlink" Target="https://www.uline.com/Product/Detail/S-21527/Corrugated-Pads/26-x-38-Chipboard-Pads-050-thick" TargetMode="External"/><Relationship Id="rId15" Type="http://schemas.openxmlformats.org/officeDocument/2006/relationships/hyperlink" Target="https://www.amazon.com/VELCRO-Brand-Sticky-Fasteners-Perfect/dp/B00006IC2M/ref=sr_1_2_sspa?keywords=velcro+strips&amp;qid=1581276403&amp;s=office-products&amp;sr=1-2-spons&amp;psc=1&amp;spLa=ZW5jcnlwdGVkUXVhbGlmaWVyPUExNEg5MFFDUURNT0VaJmVuY3J5cHRlZElkPUEwMDg4ODQ3M1VOTEU3VkhDSjAxVCZlbmNyeXB0ZWRBZElkPUExMDEyNzQyMzhIMzgyRlBZOUc1UyZ3aWRnZXROYW1lPXNwX2F0ZiZhY3Rpb249Y2xpY2tSZWRpcmVjdCZkb05vdExvZ0NsaWNrPXRydWU=" TargetMode="External"/><Relationship Id="rId10" Type="http://schemas.openxmlformats.org/officeDocument/2006/relationships/hyperlink" Target="https://www.amazon.com/VELCRO-Brand-Sticky-Fasteners-Perfect/dp/B00006IC2M/ref=sr_1_2_sspa?keywords=velcro+strips&amp;qid=1581276403&amp;s=office-products&amp;sr=1-2-spons&amp;psc=1&amp;spLa=ZW5jcnlwdGVkUXVhbGlmaWVyPUExNEg5MFFDUURNT0VaJmVuY3J5cHRlZElkPUEwMDg4ODQ3M1VOTEU3VkhDSjAxVCZlbmNyeXB0ZWRBZElkPUExMDEyNzQyMzhIMzgyRlBZOUc1UyZ3aWRnZXROYW1lPXNwX2F0ZiZhY3Rpb249Y2xpY2tSZWRpcmVjdCZkb05vdExvZ0NsaWNrPXRydWU=" TargetMode="External"/><Relationship Id="rId19" Type="http://schemas.openxmlformats.org/officeDocument/2006/relationships/hyperlink" Target="https://www.amazon.com/Lightweight-Durable-Acrylics-Varnishes-Polyurethane/dp/B01MS73FT1/ref=sr_1_1?keywords=foam+paint+brush+3+inch&amp;qid=1581276701&amp;s=office-products&amp;sr=1-1" TargetMode="External"/><Relationship Id="rId4" Type="http://schemas.openxmlformats.org/officeDocument/2006/relationships/hyperlink" Target="https://www.uline.com/Product/Detail/S-21527/Corrugated-Pads/26-x-38-Chipboard-Pads-050-thick" TargetMode="External"/><Relationship Id="rId9" Type="http://schemas.openxmlformats.org/officeDocument/2006/relationships/hyperlink" Target="https://www.uline.com/Product/Detail/S-21527/Corrugated-Pads/26-x-38-Chipboard-Pads-050-thick" TargetMode="External"/><Relationship Id="rId14" Type="http://schemas.openxmlformats.org/officeDocument/2006/relationships/hyperlink" Target="https://www.4allpromos.com/product/4-inch-bag-clip?default-tier=sample&amp;default-qty=1&amp;mkwid=sTyTxvRCJ%7Cpcrid%7C322811728040%7Cpmt%7C%7Cpkw%7C%7Cpdv%7Cc%7Cproduct%7C313-194-SAMPLE%7Cslid%7C%7C&amp;pgrid=63991977789&amp;ptaid=pla-294682000766&amp;st-t=ppc&amp;vt-k=&amp;utm_source=google&amp;utm_medium=cpc&amp;gclid=CjwKCAjwmKLzBRBeEiwACCVihkGxuKryRLxr_Gehyagu30GYjyRNniqQJavFfLjuhaUO-QwaWJITvBoCZew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7"/>
  <sheetViews>
    <sheetView tabSelected="1" workbookViewId="0">
      <selection sqref="A1:K1"/>
    </sheetView>
  </sheetViews>
  <sheetFormatPr defaultColWidth="14.3984375" defaultRowHeight="15.75" customHeight="1" x14ac:dyDescent="0.35"/>
  <cols>
    <col min="1" max="1" width="21" customWidth="1"/>
    <col min="2" max="2" width="24.265625" customWidth="1"/>
    <col min="3" max="3" width="31.265625" customWidth="1"/>
    <col min="8" max="8" width="10.3984375" customWidth="1"/>
    <col min="9" max="9" width="13.1328125" customWidth="1"/>
    <col min="10" max="10" width="15" customWidth="1"/>
    <col min="11" max="11" width="16" customWidth="1"/>
    <col min="12" max="12" width="88.1328125" customWidth="1"/>
    <col min="13" max="14" width="37.3984375" customWidth="1"/>
  </cols>
  <sheetData>
    <row r="1" spans="1:14" ht="13.15" x14ac:dyDescent="0.4">
      <c r="A1" s="20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"/>
      <c r="M1" s="1"/>
      <c r="N1" s="1"/>
    </row>
    <row r="2" spans="1:14" ht="13.15" x14ac:dyDescent="0.4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18" t="s">
        <v>6</v>
      </c>
      <c r="G2" s="19"/>
      <c r="H2" s="18" t="s">
        <v>7</v>
      </c>
      <c r="I2" s="19"/>
      <c r="J2" s="18" t="s">
        <v>8</v>
      </c>
      <c r="K2" s="19"/>
      <c r="L2" s="21" t="s">
        <v>9</v>
      </c>
      <c r="M2" s="21" t="s">
        <v>10</v>
      </c>
      <c r="N2" s="21" t="s">
        <v>11</v>
      </c>
    </row>
    <row r="3" spans="1:14" ht="13.15" x14ac:dyDescent="0.4">
      <c r="A3" s="19"/>
      <c r="B3" s="19"/>
      <c r="C3" s="19"/>
      <c r="D3" s="19"/>
      <c r="E3" s="19"/>
      <c r="F3" s="2" t="s">
        <v>12</v>
      </c>
      <c r="G3" s="2" t="s">
        <v>13</v>
      </c>
      <c r="H3" s="2" t="s">
        <v>12</v>
      </c>
      <c r="I3" s="2" t="s">
        <v>13</v>
      </c>
      <c r="J3" s="2" t="s">
        <v>12</v>
      </c>
      <c r="K3" s="2" t="s">
        <v>13</v>
      </c>
      <c r="L3" s="19"/>
      <c r="M3" s="19"/>
      <c r="N3" s="19"/>
    </row>
    <row r="4" spans="1:14" ht="12.75" x14ac:dyDescent="0.35">
      <c r="A4" s="3" t="s">
        <v>14</v>
      </c>
      <c r="B4" s="3" t="s">
        <v>14</v>
      </c>
      <c r="C4" s="3" t="s">
        <v>15</v>
      </c>
      <c r="D4" s="3" t="s">
        <v>16</v>
      </c>
      <c r="E4" s="4">
        <f>(86.5*2)+(6*0.95*7.09)+(4*7.09*2.75)</f>
        <v>291.40300000000002</v>
      </c>
      <c r="F4" s="5">
        <f>57/(26*38*40)</f>
        <v>1.4423076923076924E-3</v>
      </c>
      <c r="G4" s="6">
        <f t="shared" ref="G4:G7" si="0">F4*$E4</f>
        <v>0.4202927884615385</v>
      </c>
      <c r="H4" s="5">
        <f>52/(26*38*40)</f>
        <v>1.3157894736842105E-3</v>
      </c>
      <c r="I4" s="6">
        <f t="shared" ref="I4:I7" si="1">H4*$E4</f>
        <v>0.38342500000000002</v>
      </c>
      <c r="J4" s="5">
        <f>47/(26*38*40)</f>
        <v>1.1892712550607288E-3</v>
      </c>
      <c r="K4" s="6">
        <f t="shared" ref="K4:K7" si="2">J4*$E4</f>
        <v>0.34655721153846158</v>
      </c>
      <c r="L4" s="3" t="s">
        <v>17</v>
      </c>
      <c r="M4" s="3" t="s">
        <v>18</v>
      </c>
      <c r="N4" s="7" t="s">
        <v>19</v>
      </c>
    </row>
    <row r="5" spans="1:14" ht="12.75" x14ac:dyDescent="0.35">
      <c r="A5" s="3" t="s">
        <v>14</v>
      </c>
      <c r="B5" s="3" t="s">
        <v>20</v>
      </c>
      <c r="C5" s="3" t="s">
        <v>21</v>
      </c>
      <c r="D5" s="3" t="s">
        <v>16</v>
      </c>
      <c r="E5" s="3">
        <f>2.5*0.5</f>
        <v>1.25</v>
      </c>
      <c r="F5" s="5">
        <f>6.22/90</f>
        <v>6.9111111111111109E-2</v>
      </c>
      <c r="G5" s="6">
        <f t="shared" si="0"/>
        <v>8.638888888888889E-2</v>
      </c>
      <c r="H5" s="5">
        <f>6.22/90</f>
        <v>6.9111111111111109E-2</v>
      </c>
      <c r="I5" s="6">
        <f t="shared" si="1"/>
        <v>8.638888888888889E-2</v>
      </c>
      <c r="J5" s="5">
        <f>6.22/90</f>
        <v>6.9111111111111109E-2</v>
      </c>
      <c r="K5" s="6">
        <f t="shared" si="2"/>
        <v>8.638888888888889E-2</v>
      </c>
      <c r="L5" s="3" t="s">
        <v>22</v>
      </c>
      <c r="M5" s="3" t="s">
        <v>18</v>
      </c>
      <c r="N5" s="7" t="s">
        <v>23</v>
      </c>
    </row>
    <row r="6" spans="1:14" ht="12.75" x14ac:dyDescent="0.35">
      <c r="A6" s="3" t="s">
        <v>14</v>
      </c>
      <c r="B6" s="3" t="s">
        <v>24</v>
      </c>
      <c r="C6" s="3" t="s">
        <v>25</v>
      </c>
      <c r="D6" s="3" t="s">
        <v>4</v>
      </c>
      <c r="E6" s="3">
        <v>4</v>
      </c>
      <c r="F6" s="5">
        <f>120/500</f>
        <v>0.24</v>
      </c>
      <c r="G6" s="6">
        <f t="shared" si="0"/>
        <v>0.96</v>
      </c>
      <c r="H6" s="5">
        <f>120/500</f>
        <v>0.24</v>
      </c>
      <c r="I6" s="6">
        <f t="shared" si="1"/>
        <v>0.96</v>
      </c>
      <c r="J6" s="5">
        <f>120/500</f>
        <v>0.24</v>
      </c>
      <c r="K6" s="6">
        <f t="shared" si="2"/>
        <v>0.96</v>
      </c>
      <c r="L6" s="3" t="s">
        <v>26</v>
      </c>
      <c r="M6" s="3" t="s">
        <v>18</v>
      </c>
      <c r="N6" s="7" t="s">
        <v>27</v>
      </c>
    </row>
    <row r="7" spans="1:14" ht="12.75" x14ac:dyDescent="0.35">
      <c r="A7" s="3" t="s">
        <v>28</v>
      </c>
      <c r="B7" s="3" t="s">
        <v>29</v>
      </c>
      <c r="C7" s="3" t="s">
        <v>15</v>
      </c>
      <c r="D7" s="3" t="s">
        <v>16</v>
      </c>
      <c r="E7" s="8">
        <f>(4.9*11.25/2*2)+(10/2*7.09*7.09/2*SQRT(3))+86.5+(0.95*7*7.09)</f>
        <v>406.44075799988275</v>
      </c>
      <c r="F7" s="5">
        <f>57/(26*38*40)</f>
        <v>1.4423076923076924E-3</v>
      </c>
      <c r="G7" s="6">
        <f t="shared" si="0"/>
        <v>0.58621263173060012</v>
      </c>
      <c r="H7" s="5">
        <f>52/(26*38*40)</f>
        <v>1.3157894736842105E-3</v>
      </c>
      <c r="I7" s="6">
        <f t="shared" si="1"/>
        <v>0.53479047105247723</v>
      </c>
      <c r="J7" s="5">
        <f>47/(26*38*40)</f>
        <v>1.1892712550607288E-3</v>
      </c>
      <c r="K7" s="6">
        <f t="shared" si="2"/>
        <v>0.48336831037435452</v>
      </c>
      <c r="L7" s="3" t="s">
        <v>17</v>
      </c>
      <c r="M7" s="3" t="s">
        <v>18</v>
      </c>
      <c r="N7" s="7" t="s">
        <v>19</v>
      </c>
    </row>
    <row r="8" spans="1:14" ht="12.75" hidden="1" x14ac:dyDescent="0.35">
      <c r="A8" s="3" t="s">
        <v>28</v>
      </c>
      <c r="B8" s="3" t="s">
        <v>30</v>
      </c>
      <c r="C8" s="3" t="s">
        <v>15</v>
      </c>
      <c r="D8" s="3" t="s">
        <v>16</v>
      </c>
      <c r="E8" s="3">
        <v>10</v>
      </c>
      <c r="F8" s="5">
        <f>87/(26*38*40)</f>
        <v>2.2014170040485829E-3</v>
      </c>
      <c r="G8" s="6">
        <f>F8*E8</f>
        <v>2.201417004048583E-2</v>
      </c>
      <c r="H8" s="3"/>
      <c r="I8" s="3"/>
      <c r="J8" s="3"/>
      <c r="K8" s="3"/>
      <c r="L8" s="3" t="s">
        <v>17</v>
      </c>
      <c r="M8" s="3" t="s">
        <v>18</v>
      </c>
      <c r="N8" s="7" t="s">
        <v>19</v>
      </c>
    </row>
    <row r="9" spans="1:14" ht="12.75" x14ac:dyDescent="0.35">
      <c r="A9" s="3" t="s">
        <v>28</v>
      </c>
      <c r="B9" s="3" t="s">
        <v>31</v>
      </c>
      <c r="C9" s="3" t="s">
        <v>15</v>
      </c>
      <c r="D9" s="3" t="s">
        <v>16</v>
      </c>
      <c r="E9" s="3">
        <f>(8.5*5.5)+(3.5*1*2)</f>
        <v>53.75</v>
      </c>
      <c r="F9" s="5">
        <f>57/(26*38*40)</f>
        <v>1.4423076923076924E-3</v>
      </c>
      <c r="G9" s="6">
        <f>F9*$E9</f>
        <v>7.7524038461538464E-2</v>
      </c>
      <c r="H9" s="5">
        <f>52/(26*38*40)</f>
        <v>1.3157894736842105E-3</v>
      </c>
      <c r="I9" s="6">
        <f t="shared" ref="I9:I17" si="3">H9*$E9</f>
        <v>7.0723684210526314E-2</v>
      </c>
      <c r="J9" s="5">
        <f>47/(26*38*40)</f>
        <v>1.1892712550607288E-3</v>
      </c>
      <c r="K9" s="6">
        <f t="shared" ref="K9:K17" si="4">J9*$E9</f>
        <v>6.3923329959514177E-2</v>
      </c>
      <c r="L9" s="3" t="s">
        <v>17</v>
      </c>
      <c r="M9" s="3" t="s">
        <v>18</v>
      </c>
      <c r="N9" s="7" t="s">
        <v>19</v>
      </c>
    </row>
    <row r="10" spans="1:14" ht="12.75" x14ac:dyDescent="0.35">
      <c r="A10" s="3" t="s">
        <v>28</v>
      </c>
      <c r="B10" s="3" t="s">
        <v>32</v>
      </c>
      <c r="C10" s="3" t="s">
        <v>33</v>
      </c>
      <c r="D10" s="3" t="s">
        <v>4</v>
      </c>
      <c r="E10" s="3">
        <v>4</v>
      </c>
      <c r="F10" s="9">
        <f>4.92/50</f>
        <v>9.8400000000000001E-2</v>
      </c>
      <c r="G10" s="6">
        <f>F10*E10</f>
        <v>0.39360000000000001</v>
      </c>
      <c r="H10" s="9">
        <f>4.92/50</f>
        <v>9.8400000000000001E-2</v>
      </c>
      <c r="I10" s="6">
        <f t="shared" si="3"/>
        <v>0.39360000000000001</v>
      </c>
      <c r="J10" s="9">
        <f>4.92/50</f>
        <v>9.8400000000000001E-2</v>
      </c>
      <c r="K10" s="6">
        <f t="shared" si="4"/>
        <v>0.39360000000000001</v>
      </c>
      <c r="L10" s="3" t="s">
        <v>34</v>
      </c>
      <c r="M10" s="3" t="s">
        <v>18</v>
      </c>
      <c r="N10" s="7" t="s">
        <v>35</v>
      </c>
    </row>
    <row r="11" spans="1:14" ht="12.75" x14ac:dyDescent="0.35">
      <c r="A11" s="3" t="s">
        <v>36</v>
      </c>
      <c r="B11" s="3" t="s">
        <v>37</v>
      </c>
      <c r="C11" s="3" t="s">
        <v>15</v>
      </c>
      <c r="D11" s="3" t="s">
        <v>16</v>
      </c>
      <c r="E11" s="3">
        <f t="shared" ref="E11:E12" si="5">(2.5*0.25)+(7.25*5.5)+(2.5*1*2)</f>
        <v>45.5</v>
      </c>
      <c r="F11" s="5">
        <f t="shared" ref="F11:F12" si="6">57/(26*38*40)</f>
        <v>1.4423076923076924E-3</v>
      </c>
      <c r="G11" s="6">
        <f t="shared" ref="G11:G17" si="7">F11*$E11</f>
        <v>6.5625000000000003E-2</v>
      </c>
      <c r="H11" s="5">
        <f t="shared" ref="H11:H12" si="8">52/(26*38*40)</f>
        <v>1.3157894736842105E-3</v>
      </c>
      <c r="I11" s="6">
        <f t="shared" si="3"/>
        <v>5.9868421052631578E-2</v>
      </c>
      <c r="J11" s="5">
        <f t="shared" ref="J11:J12" si="9">47/(26*38*40)</f>
        <v>1.1892712550607288E-3</v>
      </c>
      <c r="K11" s="6">
        <f t="shared" si="4"/>
        <v>5.411184210526316E-2</v>
      </c>
      <c r="L11" s="3" t="s">
        <v>17</v>
      </c>
      <c r="M11" s="3" t="s">
        <v>18</v>
      </c>
      <c r="N11" s="7" t="s">
        <v>19</v>
      </c>
    </row>
    <row r="12" spans="1:14" ht="12.75" x14ac:dyDescent="0.35">
      <c r="A12" s="3" t="s">
        <v>36</v>
      </c>
      <c r="B12" s="3" t="s">
        <v>38</v>
      </c>
      <c r="C12" s="3" t="s">
        <v>15</v>
      </c>
      <c r="D12" s="3" t="s">
        <v>16</v>
      </c>
      <c r="E12" s="3">
        <f t="shared" si="5"/>
        <v>45.5</v>
      </c>
      <c r="F12" s="5">
        <f t="shared" si="6"/>
        <v>1.4423076923076924E-3</v>
      </c>
      <c r="G12" s="6">
        <f t="shared" si="7"/>
        <v>6.5625000000000003E-2</v>
      </c>
      <c r="H12" s="5">
        <f t="shared" si="8"/>
        <v>1.3157894736842105E-3</v>
      </c>
      <c r="I12" s="6">
        <f t="shared" si="3"/>
        <v>5.9868421052631578E-2</v>
      </c>
      <c r="J12" s="5">
        <f t="shared" si="9"/>
        <v>1.1892712550607288E-3</v>
      </c>
      <c r="K12" s="6">
        <f t="shared" si="4"/>
        <v>5.411184210526316E-2</v>
      </c>
      <c r="L12" s="3" t="s">
        <v>17</v>
      </c>
      <c r="M12" s="3" t="s">
        <v>18</v>
      </c>
      <c r="N12" s="7" t="s">
        <v>19</v>
      </c>
    </row>
    <row r="13" spans="1:14" ht="12.75" x14ac:dyDescent="0.35">
      <c r="A13" s="3" t="s">
        <v>36</v>
      </c>
      <c r="B13" s="3" t="s">
        <v>20</v>
      </c>
      <c r="C13" s="3" t="s">
        <v>39</v>
      </c>
      <c r="D13" s="3" t="s">
        <v>16</v>
      </c>
      <c r="E13" s="10">
        <f>2*2.5*0.5</f>
        <v>2.5</v>
      </c>
      <c r="F13" s="5">
        <f>6.22/90</f>
        <v>6.9111111111111109E-2</v>
      </c>
      <c r="G13" s="6">
        <f t="shared" si="7"/>
        <v>0.17277777777777778</v>
      </c>
      <c r="H13" s="5">
        <f>6.22/90</f>
        <v>6.9111111111111109E-2</v>
      </c>
      <c r="I13" s="6">
        <f t="shared" si="3"/>
        <v>0.17277777777777778</v>
      </c>
      <c r="J13" s="5">
        <f>6.22/90</f>
        <v>6.9111111111111109E-2</v>
      </c>
      <c r="K13" s="6">
        <f t="shared" si="4"/>
        <v>0.17277777777777778</v>
      </c>
      <c r="L13" s="3" t="s">
        <v>22</v>
      </c>
      <c r="M13" s="3" t="s">
        <v>18</v>
      </c>
      <c r="N13" s="7" t="s">
        <v>23</v>
      </c>
    </row>
    <row r="14" spans="1:14" ht="12.75" x14ac:dyDescent="0.35">
      <c r="A14" s="3" t="s">
        <v>36</v>
      </c>
      <c r="B14" s="3" t="s">
        <v>40</v>
      </c>
      <c r="C14" s="3" t="s">
        <v>41</v>
      </c>
      <c r="D14" s="3" t="s">
        <v>42</v>
      </c>
      <c r="E14" s="3">
        <v>6</v>
      </c>
      <c r="F14" s="5">
        <f>48/600</f>
        <v>0.08</v>
      </c>
      <c r="G14" s="6">
        <f t="shared" si="7"/>
        <v>0.48</v>
      </c>
      <c r="H14" s="5">
        <f>48/600</f>
        <v>0.08</v>
      </c>
      <c r="I14" s="6">
        <f t="shared" si="3"/>
        <v>0.48</v>
      </c>
      <c r="J14" s="5">
        <f>48/600</f>
        <v>0.08</v>
      </c>
      <c r="K14" s="6">
        <f t="shared" si="4"/>
        <v>0.48</v>
      </c>
      <c r="L14" s="3" t="s">
        <v>43</v>
      </c>
      <c r="M14" s="3" t="s">
        <v>18</v>
      </c>
      <c r="N14" s="7" t="s">
        <v>44</v>
      </c>
    </row>
    <row r="15" spans="1:14" ht="12.75" x14ac:dyDescent="0.35">
      <c r="A15" s="3" t="s">
        <v>36</v>
      </c>
      <c r="B15" s="3" t="s">
        <v>45</v>
      </c>
      <c r="C15" s="3" t="s">
        <v>46</v>
      </c>
      <c r="D15" s="3" t="s">
        <v>47</v>
      </c>
      <c r="E15" s="3">
        <v>12</v>
      </c>
      <c r="F15" s="5">
        <f>9.49/600</f>
        <v>1.5816666666666666E-2</v>
      </c>
      <c r="G15" s="6">
        <f t="shared" si="7"/>
        <v>0.1898</v>
      </c>
      <c r="H15" s="5">
        <f>9.49/600</f>
        <v>1.5816666666666666E-2</v>
      </c>
      <c r="I15" s="6">
        <f t="shared" si="3"/>
        <v>0.1898</v>
      </c>
      <c r="J15" s="5">
        <f>9.49/600</f>
        <v>1.5816666666666666E-2</v>
      </c>
      <c r="K15" s="6">
        <f t="shared" si="4"/>
        <v>0.1898</v>
      </c>
      <c r="L15" s="3" t="s">
        <v>48</v>
      </c>
      <c r="M15" s="3" t="s">
        <v>18</v>
      </c>
      <c r="N15" s="7" t="s">
        <v>49</v>
      </c>
    </row>
    <row r="16" spans="1:14" ht="12.75" x14ac:dyDescent="0.35">
      <c r="A16" s="3" t="s">
        <v>36</v>
      </c>
      <c r="B16" s="3" t="s">
        <v>50</v>
      </c>
      <c r="C16" s="3" t="s">
        <v>51</v>
      </c>
      <c r="D16" s="3" t="s">
        <v>52</v>
      </c>
      <c r="E16" s="3">
        <v>1</v>
      </c>
      <c r="F16" s="5">
        <f>7/200</f>
        <v>3.5000000000000003E-2</v>
      </c>
      <c r="G16" s="6">
        <f t="shared" si="7"/>
        <v>3.5000000000000003E-2</v>
      </c>
      <c r="H16" s="5">
        <f>7/200</f>
        <v>3.5000000000000003E-2</v>
      </c>
      <c r="I16" s="6">
        <f t="shared" si="3"/>
        <v>3.5000000000000003E-2</v>
      </c>
      <c r="J16" s="5">
        <f>7/200</f>
        <v>3.5000000000000003E-2</v>
      </c>
      <c r="K16" s="6">
        <f t="shared" si="4"/>
        <v>3.5000000000000003E-2</v>
      </c>
      <c r="L16" s="3" t="s">
        <v>53</v>
      </c>
      <c r="M16" s="3" t="s">
        <v>18</v>
      </c>
      <c r="N16" s="7" t="s">
        <v>54</v>
      </c>
    </row>
    <row r="17" spans="1:32" ht="12.75" x14ac:dyDescent="0.35">
      <c r="A17" s="3" t="s">
        <v>36</v>
      </c>
      <c r="B17" s="3" t="s">
        <v>55</v>
      </c>
      <c r="C17" s="3" t="s">
        <v>56</v>
      </c>
      <c r="D17" s="3" t="s">
        <v>57</v>
      </c>
      <c r="E17" s="3">
        <v>1</v>
      </c>
      <c r="F17" s="9">
        <v>7.0000000000000007E-2</v>
      </c>
      <c r="G17" s="6">
        <f t="shared" si="7"/>
        <v>7.0000000000000007E-2</v>
      </c>
      <c r="H17" s="9">
        <v>7.0000000000000007E-2</v>
      </c>
      <c r="I17" s="6">
        <f t="shared" si="3"/>
        <v>7.0000000000000007E-2</v>
      </c>
      <c r="J17" s="9">
        <v>7.0000000000000007E-2</v>
      </c>
      <c r="K17" s="6">
        <f t="shared" si="4"/>
        <v>7.0000000000000007E-2</v>
      </c>
      <c r="L17" s="3" t="s">
        <v>58</v>
      </c>
      <c r="M17" s="3" t="s">
        <v>18</v>
      </c>
      <c r="N17" s="3" t="s">
        <v>59</v>
      </c>
    </row>
    <row r="18" spans="1:32" ht="13.5" x14ac:dyDescent="0.35">
      <c r="A18" s="3" t="s">
        <v>36</v>
      </c>
      <c r="B18" s="3" t="s">
        <v>60</v>
      </c>
      <c r="C18" s="3" t="s">
        <v>61</v>
      </c>
      <c r="D18" s="3" t="s">
        <v>57</v>
      </c>
      <c r="E18" s="3">
        <v>1</v>
      </c>
      <c r="F18" s="5">
        <f>140/250</f>
        <v>0.56000000000000005</v>
      </c>
      <c r="G18" s="6">
        <f>F18*E18</f>
        <v>0.56000000000000005</v>
      </c>
      <c r="H18" s="5">
        <f>140/250</f>
        <v>0.56000000000000005</v>
      </c>
      <c r="I18" s="6">
        <f>H18*G18</f>
        <v>0.31360000000000005</v>
      </c>
      <c r="J18" s="5">
        <f>530/1000</f>
        <v>0.53</v>
      </c>
      <c r="K18" s="6">
        <f>J18*I18</f>
        <v>0.16620800000000002</v>
      </c>
      <c r="L18" s="3" t="s">
        <v>62</v>
      </c>
      <c r="M18" s="11" t="s">
        <v>18</v>
      </c>
      <c r="N18" s="7" t="s">
        <v>63</v>
      </c>
    </row>
    <row r="19" spans="1:32" ht="12.75" x14ac:dyDescent="0.35">
      <c r="A19" s="3" t="s">
        <v>36</v>
      </c>
      <c r="B19" s="3" t="s">
        <v>60</v>
      </c>
      <c r="C19" s="3" t="s">
        <v>64</v>
      </c>
      <c r="D19" s="3" t="s">
        <v>16</v>
      </c>
      <c r="E19" s="3">
        <f>2.5*0.5</f>
        <v>1.25</v>
      </c>
      <c r="F19" s="5">
        <f t="shared" ref="F19:F20" si="10">6.22/90</f>
        <v>6.9111111111111109E-2</v>
      </c>
      <c r="G19" s="6">
        <f t="shared" ref="G19:G21" si="11">F19*$E19</f>
        <v>8.638888888888889E-2</v>
      </c>
      <c r="H19" s="5">
        <f t="shared" ref="H19:H20" si="12">6.22/90</f>
        <v>6.9111111111111109E-2</v>
      </c>
      <c r="I19" s="6">
        <f t="shared" ref="I19:I21" si="13">H19*$E19</f>
        <v>8.638888888888889E-2</v>
      </c>
      <c r="J19" s="5">
        <f t="shared" ref="J19:J20" si="14">6.22/90</f>
        <v>6.9111111111111109E-2</v>
      </c>
      <c r="K19" s="6">
        <f t="shared" ref="K19:K21" si="15">J19*$E19</f>
        <v>8.638888888888889E-2</v>
      </c>
      <c r="L19" s="3" t="s">
        <v>22</v>
      </c>
      <c r="M19" s="3" t="s">
        <v>18</v>
      </c>
      <c r="N19" s="7" t="s">
        <v>23</v>
      </c>
    </row>
    <row r="20" spans="1:32" ht="12.75" x14ac:dyDescent="0.35">
      <c r="A20" s="3" t="s">
        <v>36</v>
      </c>
      <c r="B20" s="3" t="s">
        <v>60</v>
      </c>
      <c r="C20" s="3" t="s">
        <v>65</v>
      </c>
      <c r="D20" s="3" t="s">
        <v>16</v>
      </c>
      <c r="E20" s="10">
        <f>0.75*0.375*2</f>
        <v>0.5625</v>
      </c>
      <c r="F20" s="5">
        <f t="shared" si="10"/>
        <v>6.9111111111111109E-2</v>
      </c>
      <c r="G20" s="6">
        <f t="shared" si="11"/>
        <v>3.8875E-2</v>
      </c>
      <c r="H20" s="5">
        <f t="shared" si="12"/>
        <v>6.9111111111111109E-2</v>
      </c>
      <c r="I20" s="6">
        <f t="shared" si="13"/>
        <v>3.8875E-2</v>
      </c>
      <c r="J20" s="5">
        <f t="shared" si="14"/>
        <v>6.9111111111111109E-2</v>
      </c>
      <c r="K20" s="6">
        <f t="shared" si="15"/>
        <v>3.8875E-2</v>
      </c>
      <c r="L20" s="3" t="s">
        <v>22</v>
      </c>
      <c r="M20" s="3" t="s">
        <v>18</v>
      </c>
      <c r="N20" s="7" t="s">
        <v>23</v>
      </c>
    </row>
    <row r="21" spans="1:32" ht="12.75" x14ac:dyDescent="0.35">
      <c r="A21" s="3" t="s">
        <v>36</v>
      </c>
      <c r="B21" s="3" t="s">
        <v>66</v>
      </c>
      <c r="C21" s="3" t="s">
        <v>67</v>
      </c>
      <c r="D21" s="3" t="s">
        <v>4</v>
      </c>
      <c r="E21" s="3">
        <v>2</v>
      </c>
      <c r="F21" s="5">
        <f>13.29/250</f>
        <v>5.3159999999999999E-2</v>
      </c>
      <c r="G21" s="6">
        <f t="shared" si="11"/>
        <v>0.10632</v>
      </c>
      <c r="H21" s="5">
        <f>13.29/250</f>
        <v>5.3159999999999999E-2</v>
      </c>
      <c r="I21" s="6">
        <f t="shared" si="13"/>
        <v>0.10632</v>
      </c>
      <c r="J21" s="5">
        <f>13.29/250</f>
        <v>5.3159999999999999E-2</v>
      </c>
      <c r="K21" s="6">
        <f t="shared" si="15"/>
        <v>0.10632</v>
      </c>
      <c r="L21" s="3" t="s">
        <v>68</v>
      </c>
      <c r="M21" s="3" t="s">
        <v>18</v>
      </c>
      <c r="N21" s="7" t="s">
        <v>69</v>
      </c>
    </row>
    <row r="23" spans="1:32" ht="13.15" x14ac:dyDescent="0.4">
      <c r="A23" s="12" t="s">
        <v>70</v>
      </c>
      <c r="B23" s="13"/>
      <c r="C23" s="13"/>
      <c r="D23" s="13"/>
      <c r="E23" s="13"/>
      <c r="F23" s="13"/>
      <c r="G23" s="14">
        <f>SUM(G4:G21)</f>
        <v>4.416444184249718</v>
      </c>
      <c r="H23" s="13"/>
      <c r="I23" s="14">
        <f>SUM(I4:I21)</f>
        <v>4.0414265529238227</v>
      </c>
      <c r="J23" s="13"/>
      <c r="K23" s="14">
        <f>SUM(K4:K21)</f>
        <v>3.7874310916384122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5" spans="1:32" ht="13.15" x14ac:dyDescent="0.4">
      <c r="A25" s="20" t="s">
        <v>71</v>
      </c>
      <c r="B25" s="19"/>
      <c r="C25" s="19"/>
      <c r="D25" s="19"/>
      <c r="E25" s="19"/>
      <c r="F25" s="19"/>
      <c r="G25" s="19"/>
      <c r="H25" s="1"/>
      <c r="I25" s="1"/>
      <c r="J25" s="1"/>
      <c r="K25" s="1"/>
      <c r="L25" s="1"/>
      <c r="M25" s="1"/>
      <c r="N25" s="1"/>
    </row>
    <row r="26" spans="1:32" ht="13.15" x14ac:dyDescent="0.4">
      <c r="A26" s="2" t="s">
        <v>72</v>
      </c>
      <c r="B26" s="2" t="s">
        <v>73</v>
      </c>
      <c r="C26" s="2" t="s">
        <v>74</v>
      </c>
      <c r="D26" s="2" t="s">
        <v>13</v>
      </c>
      <c r="E26" s="2" t="s">
        <v>9</v>
      </c>
    </row>
    <row r="27" spans="1:32" ht="12.75" x14ac:dyDescent="0.35">
      <c r="A27" s="3" t="s">
        <v>75</v>
      </c>
      <c r="B27" s="3">
        <v>0.5</v>
      </c>
      <c r="C27" s="15">
        <v>20</v>
      </c>
      <c r="D27" s="16">
        <f t="shared" ref="D27:D28" si="16">B27*C27</f>
        <v>10</v>
      </c>
      <c r="E27" s="3" t="s">
        <v>76</v>
      </c>
    </row>
    <row r="28" spans="1:32" ht="12.75" x14ac:dyDescent="0.35">
      <c r="A28" s="3" t="s">
        <v>77</v>
      </c>
      <c r="B28" s="3">
        <v>0.5</v>
      </c>
      <c r="C28" s="15">
        <v>20</v>
      </c>
      <c r="D28" s="16">
        <f t="shared" si="16"/>
        <v>10</v>
      </c>
      <c r="E28" s="3" t="s">
        <v>76</v>
      </c>
    </row>
    <row r="30" spans="1:32" ht="13.15" x14ac:dyDescent="0.4">
      <c r="A30" s="12" t="s">
        <v>78</v>
      </c>
      <c r="B30" s="13"/>
      <c r="C30" s="13"/>
      <c r="D30" s="17">
        <f>SUM(D27:D28)</f>
        <v>20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2" spans="1:32" ht="13.15" x14ac:dyDescent="0.4">
      <c r="A32" s="20" t="s">
        <v>79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ht="13.15" x14ac:dyDescent="0.4">
      <c r="A33" s="2" t="s">
        <v>1</v>
      </c>
      <c r="B33" s="2" t="s">
        <v>2</v>
      </c>
      <c r="C33" s="2" t="s">
        <v>3</v>
      </c>
      <c r="D33" s="2" t="s">
        <v>4</v>
      </c>
      <c r="E33" s="2" t="s">
        <v>5</v>
      </c>
      <c r="F33" s="2" t="s">
        <v>12</v>
      </c>
      <c r="G33" s="2" t="s">
        <v>13</v>
      </c>
      <c r="H33" s="2"/>
      <c r="I33" s="2"/>
      <c r="J33" s="2"/>
      <c r="K33" s="2"/>
      <c r="L33" s="2" t="s">
        <v>9</v>
      </c>
      <c r="M33" s="2"/>
      <c r="N33" s="2" t="s">
        <v>11</v>
      </c>
    </row>
    <row r="34" spans="1:14" ht="12.75" x14ac:dyDescent="0.35">
      <c r="A34" s="3" t="s">
        <v>28</v>
      </c>
      <c r="B34" s="3" t="s">
        <v>80</v>
      </c>
      <c r="C34" s="3" t="s">
        <v>81</v>
      </c>
      <c r="D34" s="3" t="s">
        <v>57</v>
      </c>
      <c r="E34" s="3">
        <v>1</v>
      </c>
      <c r="F34" s="9">
        <v>29</v>
      </c>
      <c r="G34" s="6">
        <f>F34*E34</f>
        <v>29</v>
      </c>
      <c r="M34" s="3"/>
      <c r="N34" s="7" t="s">
        <v>82</v>
      </c>
    </row>
    <row r="35" spans="1:14" ht="12.75" x14ac:dyDescent="0.35">
      <c r="A35" s="3" t="s">
        <v>36</v>
      </c>
      <c r="B35" s="3" t="s">
        <v>66</v>
      </c>
      <c r="C35" s="3" t="s">
        <v>83</v>
      </c>
      <c r="D35" s="3" t="s">
        <v>57</v>
      </c>
      <c r="E35" s="3">
        <v>2</v>
      </c>
    </row>
    <row r="36" spans="1:14" ht="12.75" x14ac:dyDescent="0.35">
      <c r="A36" s="3" t="s">
        <v>36</v>
      </c>
      <c r="B36" s="3" t="s">
        <v>84</v>
      </c>
      <c r="C36" s="3" t="s">
        <v>85</v>
      </c>
      <c r="D36" s="3" t="s">
        <v>57</v>
      </c>
      <c r="E36" s="3">
        <v>1</v>
      </c>
    </row>
    <row r="37" spans="1:14" ht="12.75" x14ac:dyDescent="0.35">
      <c r="A37" s="3" t="s">
        <v>36</v>
      </c>
      <c r="B37" s="3" t="s">
        <v>86</v>
      </c>
      <c r="C37" s="3" t="s">
        <v>87</v>
      </c>
      <c r="D37" s="3" t="s">
        <v>57</v>
      </c>
      <c r="E37" s="3">
        <v>1</v>
      </c>
      <c r="F37" s="5">
        <f>12.99/36</f>
        <v>0.36083333333333334</v>
      </c>
      <c r="G37" s="6">
        <f>F37*E37</f>
        <v>0.36083333333333334</v>
      </c>
      <c r="H37" s="3"/>
      <c r="I37" s="3"/>
      <c r="J37" s="3"/>
      <c r="K37" s="3"/>
      <c r="L37" s="3" t="s">
        <v>88</v>
      </c>
      <c r="M37" s="3" t="s">
        <v>89</v>
      </c>
      <c r="N37" s="7" t="s">
        <v>90</v>
      </c>
    </row>
  </sheetData>
  <mergeCells count="14">
    <mergeCell ref="A1:K1"/>
    <mergeCell ref="A2:A3"/>
    <mergeCell ref="B2:B3"/>
    <mergeCell ref="C2:C3"/>
    <mergeCell ref="D2:D3"/>
    <mergeCell ref="E2:E3"/>
    <mergeCell ref="F2:G2"/>
    <mergeCell ref="H2:I2"/>
    <mergeCell ref="J2:K2"/>
    <mergeCell ref="A25:G25"/>
    <mergeCell ref="A32:N32"/>
    <mergeCell ref="L2:L3"/>
    <mergeCell ref="N2:N3"/>
    <mergeCell ref="M2:M3"/>
  </mergeCells>
  <hyperlinks>
    <hyperlink ref="N4" r:id="rId1" xr:uid="{00000000-0004-0000-0000-000000000000}"/>
    <hyperlink ref="N5" r:id="rId2" xr:uid="{00000000-0004-0000-0000-000001000000}"/>
    <hyperlink ref="N6" r:id="rId3" xr:uid="{00000000-0004-0000-0000-000002000000}"/>
    <hyperlink ref="N7" r:id="rId4" xr:uid="{00000000-0004-0000-0000-000003000000}"/>
    <hyperlink ref="N8" r:id="rId5" xr:uid="{00000000-0004-0000-0000-000004000000}"/>
    <hyperlink ref="N9" r:id="rId6" xr:uid="{00000000-0004-0000-0000-000005000000}"/>
    <hyperlink ref="N10" r:id="rId7" xr:uid="{00000000-0004-0000-0000-000006000000}"/>
    <hyperlink ref="N11" r:id="rId8" xr:uid="{00000000-0004-0000-0000-000007000000}"/>
    <hyperlink ref="N12" r:id="rId9" xr:uid="{00000000-0004-0000-0000-000008000000}"/>
    <hyperlink ref="N13" r:id="rId10" xr:uid="{00000000-0004-0000-0000-000009000000}"/>
    <hyperlink ref="N14" r:id="rId11" xr:uid="{00000000-0004-0000-0000-00000A000000}"/>
    <hyperlink ref="N15" r:id="rId12" xr:uid="{00000000-0004-0000-0000-00000B000000}"/>
    <hyperlink ref="N16" r:id="rId13" xr:uid="{00000000-0004-0000-0000-00000C000000}"/>
    <hyperlink ref="N18" r:id="rId14" xr:uid="{00000000-0004-0000-0000-00000D000000}"/>
    <hyperlink ref="N19" r:id="rId15" xr:uid="{00000000-0004-0000-0000-00000E000000}"/>
    <hyperlink ref="N20" r:id="rId16" xr:uid="{00000000-0004-0000-0000-00000F000000}"/>
    <hyperlink ref="N21" r:id="rId17" xr:uid="{00000000-0004-0000-0000-000010000000}"/>
    <hyperlink ref="N34" r:id="rId18" xr:uid="{00000000-0004-0000-0000-000011000000}"/>
    <hyperlink ref="N37" r:id="rId19" xr:uid="{00000000-0004-0000-0000-00001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Yao</cp:lastModifiedBy>
  <dcterms:modified xsi:type="dcterms:W3CDTF">2020-04-16T19:43:06Z</dcterms:modified>
</cp:coreProperties>
</file>