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Matlab_Data\"/>
    </mc:Choice>
  </mc:AlternateContent>
  <xr:revisionPtr revIDLastSave="0" documentId="13_ncr:1_{B0E31801-481C-45A7-97C5-C53728DBC3FF}" xr6:coauthVersionLast="43" xr6:coauthVersionMax="43" xr10:uidLastSave="{00000000-0000-0000-0000-000000000000}"/>
  <bookViews>
    <workbookView xWindow="28680" yWindow="-120" windowWidth="29040" windowHeight="16440" tabRatio="744" xr2:uid="{00000000-000D-0000-FFFF-FFFF00000000}"/>
  </bookViews>
  <sheets>
    <sheet name="Offner imaging design procedure" sheetId="1" r:id="rId1"/>
    <sheet name="TO Matlab" sheetId="11" r:id="rId2"/>
    <sheet name="求些有的沒的" sheetId="4" r:id="rId3"/>
    <sheet name="解析度概算" sheetId="7" r:id="rId4"/>
    <sheet name="Rowland circle 像差" sheetId="8" r:id="rId5"/>
    <sheet name="工作表3" sheetId="3" state="hidden" r:id="rId6"/>
    <sheet name="解除Rowland circle限制的像差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2" i="11"/>
  <c r="A11" i="11"/>
  <c r="A5" i="1" l="1"/>
  <c r="A3" i="1"/>
  <c r="A20" i="1" l="1"/>
  <c r="A19" i="1" l="1"/>
  <c r="A17" i="1"/>
  <c r="B18" i="4" l="1"/>
  <c r="B17" i="4"/>
  <c r="F16" i="4"/>
  <c r="F17" i="4"/>
  <c r="F18" i="4"/>
  <c r="D18" i="4" s="1"/>
  <c r="B16" i="4"/>
  <c r="F15" i="4"/>
  <c r="B15" i="4"/>
  <c r="D15" i="4" s="1"/>
  <c r="F12" i="4"/>
  <c r="F13" i="4"/>
  <c r="F14" i="4"/>
  <c r="B12" i="4"/>
  <c r="B13" i="4"/>
  <c r="B14" i="4"/>
  <c r="B11" i="4"/>
  <c r="F11" i="4"/>
  <c r="D17" i="4" l="1"/>
  <c r="D16" i="4"/>
  <c r="D11" i="4"/>
  <c r="D13" i="4"/>
  <c r="D14" i="4"/>
  <c r="D12" i="4"/>
  <c r="B15" i="10"/>
  <c r="B12" i="10"/>
  <c r="B4" i="10"/>
  <c r="B13" i="10" s="1"/>
  <c r="B6" i="10"/>
  <c r="B14" i="10" s="1"/>
  <c r="B10" i="8"/>
  <c r="E8" i="8" s="1"/>
  <c r="B5" i="8"/>
  <c r="B3" i="8" s="1"/>
  <c r="E7" i="10" l="1"/>
  <c r="E16" i="10"/>
  <c r="E3" i="8"/>
  <c r="D8" i="4"/>
  <c r="C8" i="4"/>
  <c r="C8" i="7"/>
  <c r="E8" i="7"/>
  <c r="C5" i="4" l="1"/>
  <c r="D2" i="4"/>
  <c r="E2" i="4" s="1"/>
  <c r="D5" i="4" l="1"/>
  <c r="E5" i="4"/>
  <c r="F8" i="1"/>
  <c r="D15" i="1" s="1"/>
  <c r="D38" i="1" s="1"/>
  <c r="A6" i="11" s="1"/>
  <c r="D9" i="1"/>
  <c r="F6" i="1" s="1"/>
  <c r="D13" i="1" s="1"/>
  <c r="F14" i="1" s="1"/>
  <c r="D21" i="1" s="1"/>
  <c r="D42" i="1" s="1"/>
  <c r="A9" i="11" s="1"/>
  <c r="F4" i="1"/>
  <c r="D11" i="1" s="1"/>
  <c r="F18" i="1" l="1"/>
  <c r="D25" i="1" s="1"/>
  <c r="F20" i="1" s="1"/>
  <c r="D27" i="1" s="1"/>
  <c r="D41" i="1" s="1"/>
  <c r="A8" i="11" s="1"/>
  <c r="F10" i="1"/>
  <c r="D17" i="1" s="1"/>
  <c r="F16" i="1"/>
  <c r="F22" i="1" s="1"/>
  <c r="D29" i="1" s="1"/>
  <c r="D5" i="1"/>
  <c r="F2" i="1" s="1"/>
  <c r="D37" i="1" l="1"/>
  <c r="A5" i="11" s="1"/>
  <c r="D32" i="1"/>
  <c r="E32" i="1" s="1"/>
  <c r="A1" i="11" s="1"/>
  <c r="D23" i="1"/>
  <c r="F12" i="1"/>
  <c r="D19" i="1" s="1"/>
  <c r="D39" i="1" s="1"/>
  <c r="A7" i="11" s="1"/>
  <c r="A35" i="1" l="1"/>
  <c r="D43" i="1" s="1"/>
  <c r="A10" i="11" s="1"/>
  <c r="D35" i="1" l="1"/>
  <c r="D34" i="1" s="1"/>
  <c r="D33" i="1"/>
  <c r="E33" i="1" s="1"/>
  <c r="A2" i="11" s="1"/>
  <c r="E34" i="1" l="1"/>
  <c r="A3" i="11" s="1"/>
  <c r="E35" i="1"/>
  <c r="A4" i="11" s="1"/>
</calcChain>
</file>

<file path=xl/sharedStrings.xml><?xml version="1.0" encoding="utf-8"?>
<sst xmlns="http://schemas.openxmlformats.org/spreadsheetml/2006/main" count="175" uniqueCount="154">
  <si>
    <t>f-number</t>
    <phoneticPr fontId="1" type="noConversion"/>
  </si>
  <si>
    <t>Diffraction order</t>
    <phoneticPr fontId="1" type="noConversion"/>
  </si>
  <si>
    <t>eq.20</t>
    <phoneticPr fontId="1" type="noConversion"/>
  </si>
  <si>
    <t>eq.23</t>
    <phoneticPr fontId="1" type="noConversion"/>
  </si>
  <si>
    <t>eq.14</t>
    <phoneticPr fontId="1" type="noConversion"/>
  </si>
  <si>
    <t>Grating density(1/mm)</t>
    <phoneticPr fontId="1" type="noConversion"/>
  </si>
  <si>
    <t>Spectral range(mm)</t>
    <phoneticPr fontId="1" type="noConversion"/>
  </si>
  <si>
    <t>Design wavelength(mm)</t>
    <phoneticPr fontId="1" type="noConversion"/>
  </si>
  <si>
    <t>to be designed</t>
    <phoneticPr fontId="1" type="noConversion"/>
  </si>
  <si>
    <t>eq.26</t>
    <phoneticPr fontId="1" type="noConversion"/>
  </si>
  <si>
    <t>eq.10-1</t>
    <phoneticPr fontId="1" type="noConversion"/>
  </si>
  <si>
    <t>CI(mm)</t>
    <phoneticPr fontId="1" type="noConversion"/>
  </si>
  <si>
    <t>eq.10-2</t>
    <phoneticPr fontId="1" type="noConversion"/>
  </si>
  <si>
    <t>eq.1</t>
    <phoneticPr fontId="1" type="noConversion"/>
  </si>
  <si>
    <t>eq.8</t>
    <phoneticPr fontId="1" type="noConversion"/>
  </si>
  <si>
    <t>CO(mm)</t>
    <phoneticPr fontId="1" type="noConversion"/>
  </si>
  <si>
    <t>eq.11</t>
    <phoneticPr fontId="1" type="noConversion"/>
  </si>
  <si>
    <t>eq.7</t>
    <phoneticPr fontId="1" type="noConversion"/>
  </si>
  <si>
    <t>eq.8</t>
    <phoneticPr fontId="1" type="noConversion"/>
  </si>
  <si>
    <t>CODEV參數</t>
    <phoneticPr fontId="1" type="noConversion"/>
  </si>
  <si>
    <t>thickness 1</t>
    <phoneticPr fontId="1" type="noConversion"/>
  </si>
  <si>
    <t>thickness 2</t>
    <phoneticPr fontId="1" type="noConversion"/>
  </si>
  <si>
    <t>thickness 3</t>
    <phoneticPr fontId="1" type="noConversion"/>
  </si>
  <si>
    <t>thickness 4</t>
    <phoneticPr fontId="1" type="noConversion"/>
  </si>
  <si>
    <t>Thickness</t>
    <phoneticPr fontId="1" type="noConversion"/>
  </si>
  <si>
    <t>角度(rad)</t>
    <phoneticPr fontId="1" type="noConversion"/>
  </si>
  <si>
    <t>角度(度)</t>
    <phoneticPr fontId="1" type="noConversion"/>
  </si>
  <si>
    <t>Y Radius</t>
    <phoneticPr fontId="1" type="noConversion"/>
  </si>
  <si>
    <t>F number</t>
    <phoneticPr fontId="1" type="noConversion"/>
  </si>
  <si>
    <t>張角(rad)</t>
    <phoneticPr fontId="1" type="noConversion"/>
  </si>
  <si>
    <t>張角(度)</t>
    <phoneticPr fontId="1" type="noConversion"/>
  </si>
  <si>
    <t>F/#</t>
    <phoneticPr fontId="1" type="noConversion"/>
  </si>
  <si>
    <t>NA</t>
    <phoneticPr fontId="1" type="noConversion"/>
  </si>
  <si>
    <t>解析度2(nm)</t>
    <phoneticPr fontId="1" type="noConversion"/>
  </si>
  <si>
    <t>解析度1(nm)</t>
    <phoneticPr fontId="1" type="noConversion"/>
  </si>
  <si>
    <t>波長3</t>
    <phoneticPr fontId="1" type="noConversion"/>
  </si>
  <si>
    <t>波長2</t>
    <phoneticPr fontId="1" type="noConversion"/>
  </si>
  <si>
    <t>波長1</t>
    <phoneticPr fontId="1" type="noConversion"/>
  </si>
  <si>
    <t>位置(mm)</t>
    <phoneticPr fontId="1" type="noConversion"/>
  </si>
  <si>
    <t>RMS(mm)</t>
    <phoneticPr fontId="1" type="noConversion"/>
  </si>
  <si>
    <t>波長(nm)</t>
    <phoneticPr fontId="1" type="noConversion"/>
  </si>
  <si>
    <t>NA</t>
    <phoneticPr fontId="1" type="noConversion"/>
  </si>
  <si>
    <t>張角(度)</t>
    <phoneticPr fontId="1" type="noConversion"/>
  </si>
  <si>
    <t>F200</t>
    <phoneticPr fontId="1" type="noConversion"/>
  </si>
  <si>
    <t>Y radius</t>
    <phoneticPr fontId="1" type="noConversion"/>
  </si>
  <si>
    <t>thickness</t>
    <phoneticPr fontId="1" type="noConversion"/>
  </si>
  <si>
    <t>equation1</t>
    <phoneticPr fontId="1" type="noConversion"/>
  </si>
  <si>
    <t>F020</t>
    <phoneticPr fontId="1" type="noConversion"/>
  </si>
  <si>
    <t>equation2</t>
    <phoneticPr fontId="1" type="noConversion"/>
  </si>
  <si>
    <t>theta(degree)</t>
    <phoneticPr fontId="1" type="noConversion"/>
  </si>
  <si>
    <t>theta(rad)</t>
    <phoneticPr fontId="1" type="noConversion"/>
  </si>
  <si>
    <t>F200</t>
    <phoneticPr fontId="1" type="noConversion"/>
  </si>
  <si>
    <t>已知</t>
    <phoneticPr fontId="1" type="noConversion"/>
  </si>
  <si>
    <t>Y radius</t>
    <phoneticPr fontId="1" type="noConversion"/>
  </si>
  <si>
    <t>欲求</t>
    <phoneticPr fontId="1" type="noConversion"/>
  </si>
  <si>
    <t>sec thickness</t>
    <phoneticPr fontId="1" type="noConversion"/>
  </si>
  <si>
    <t>thickness</t>
    <phoneticPr fontId="1" type="noConversion"/>
  </si>
  <si>
    <t>eq</t>
    <phoneticPr fontId="1" type="noConversion"/>
  </si>
  <si>
    <t>F020</t>
    <phoneticPr fontId="1" type="noConversion"/>
  </si>
  <si>
    <t>已知</t>
    <phoneticPr fontId="1" type="noConversion"/>
  </si>
  <si>
    <t>Y radius</t>
    <phoneticPr fontId="1" type="noConversion"/>
  </si>
  <si>
    <t>thickness</t>
    <phoneticPr fontId="1" type="noConversion"/>
  </si>
  <si>
    <t>sec thickness</t>
    <phoneticPr fontId="1" type="noConversion"/>
  </si>
  <si>
    <t>欲求</t>
    <phoneticPr fontId="1" type="noConversion"/>
  </si>
  <si>
    <t>X radius</t>
    <phoneticPr fontId="1" type="noConversion"/>
  </si>
  <si>
    <t>eq</t>
    <phoneticPr fontId="1" type="noConversion"/>
  </si>
  <si>
    <t>k</t>
    <phoneticPr fontId="1" type="noConversion"/>
  </si>
  <si>
    <t>α(度)</t>
    <phoneticPr fontId="1" type="noConversion"/>
  </si>
  <si>
    <t>β(度)</t>
    <phoneticPr fontId="1" type="noConversion"/>
  </si>
  <si>
    <t>p(1/mm)</t>
    <phoneticPr fontId="1" type="noConversion"/>
  </si>
  <si>
    <t>d(mm)</t>
    <phoneticPr fontId="1" type="noConversion"/>
  </si>
  <si>
    <t>λ(mm)</t>
    <phoneticPr fontId="1" type="noConversion"/>
  </si>
  <si>
    <t>theta3(degree)</t>
    <phoneticPr fontId="1" type="noConversion"/>
  </si>
  <si>
    <t>Spatial image size(mm)</t>
    <phoneticPr fontId="1" type="noConversion"/>
  </si>
  <si>
    <t>Spectral image size(mm)</t>
    <phoneticPr fontId="1" type="noConversion"/>
  </si>
  <si>
    <t>表面1之Alpha角</t>
    <phoneticPr fontId="1" type="noConversion"/>
  </si>
  <si>
    <t>光柵之Alpha角</t>
    <phoneticPr fontId="1" type="noConversion"/>
  </si>
  <si>
    <t>表面3之Alpha角</t>
    <phoneticPr fontId="1" type="noConversion"/>
  </si>
  <si>
    <t>偏心和彎曲</t>
    <phoneticPr fontId="1" type="noConversion"/>
  </si>
  <si>
    <t>生成程式碼</t>
    <phoneticPr fontId="1" type="noConversion"/>
  </si>
  <si>
    <t>ins s1</t>
  </si>
  <si>
    <t>ins s2</t>
  </si>
  <si>
    <t>ins s3</t>
  </si>
  <si>
    <t>RMD  S1 REFL</t>
  </si>
  <si>
    <t>RMD  S2 REFL</t>
  </si>
  <si>
    <t>RMD  S3 REFL</t>
  </si>
  <si>
    <t>rdy s1 121.9120464</t>
  </si>
  <si>
    <t>rdy s2 -71.97765622</t>
  </si>
  <si>
    <t>RDY  S3 71.286547</t>
  </si>
  <si>
    <t>RDY  S4 -121.2209372</t>
  </si>
  <si>
    <t>THI  S1 121.9120464</t>
  </si>
  <si>
    <t>THI  S2 -71.97765622</t>
  </si>
  <si>
    <t>THI  S3 71.286547</t>
  </si>
  <si>
    <t>THI  S4 -121.2209372</t>
  </si>
  <si>
    <t>THI  SO 121.9120464</t>
  </si>
  <si>
    <t>THI  S1 -71.97765622</t>
  </si>
  <si>
    <t>THI  S2 71.286547</t>
  </si>
  <si>
    <t>THI  S3 -121.2209372</t>
  </si>
  <si>
    <t>THI  S4 0</t>
  </si>
  <si>
    <t>RDY  S1 -131.3152019</t>
  </si>
  <si>
    <t>RDY  S2 -69.81818182</t>
  </si>
  <si>
    <t>RDY  S3 -130.6738337</t>
  </si>
  <si>
    <t>RDY  S4 0</t>
  </si>
  <si>
    <t>ben s1; ade s1 21.81439679</t>
  </si>
  <si>
    <t>ben s2; ade s2 -44.33990689</t>
  </si>
  <si>
    <t>ben s3; ade s3 21.92700187</t>
  </si>
  <si>
    <t>可能的變數</t>
    <phoneticPr fontId="1" type="noConversion"/>
  </si>
  <si>
    <t>左邊綠綠的東西</t>
    <phoneticPr fontId="1" type="noConversion"/>
  </si>
  <si>
    <r>
      <t>輸入</t>
    </r>
    <r>
      <rPr>
        <sz val="18"/>
        <color rgb="FF000000"/>
        <rFont val="Calibri"/>
        <family val="2"/>
      </rPr>
      <t>:F number  (F number=</t>
    </r>
    <r>
      <rPr>
        <sz val="18"/>
        <color rgb="FF000000"/>
        <rFont val="新細明體"/>
        <family val="1"/>
        <charset val="136"/>
        <scheme val="minor"/>
      </rPr>
      <t>設計張角值弳度的倒數</t>
    </r>
    <r>
      <rPr>
        <sz val="18"/>
        <color rgb="FF000000"/>
        <rFont val="Calibri"/>
        <family val="2"/>
      </rPr>
      <t>)900~1700</t>
    </r>
    <r>
      <rPr>
        <sz val="18"/>
        <color rgb="FF000000"/>
        <rFont val="新細明體"/>
        <family val="2"/>
        <charset val="136"/>
      </rPr>
      <t>設計上採張角15度  F number =3.82</t>
    </r>
    <phoneticPr fontId="1" type="noConversion"/>
  </si>
  <si>
    <t>FNO  3.82</t>
  </si>
  <si>
    <t>DIF S2 GRT</t>
  </si>
  <si>
    <t>GRO  S2 1</t>
  </si>
  <si>
    <t>GRS  S2 0.0061</t>
  </si>
  <si>
    <t>F number</t>
  </si>
  <si>
    <t>光柵間距0.0061mm</t>
  </si>
  <si>
    <t>DIM M</t>
  </si>
  <si>
    <t>WL W1 1700</t>
  </si>
  <si>
    <t>IN CV_MACRO:inswl 1+1</t>
  </si>
  <si>
    <t>CODE V&gt; out n</t>
  </si>
  <si>
    <t>WL W2 1500</t>
  </si>
  <si>
    <t>18:47:20  警告:Wavelengths arranged in descending order</t>
  </si>
  <si>
    <t>WL W3 1300</t>
  </si>
  <si>
    <t>WL W3 1100</t>
  </si>
  <si>
    <t>IN CV_MACRO:inswl 3+1</t>
  </si>
  <si>
    <t>WL W4 1100</t>
  </si>
  <si>
    <t>IN CV_MACRO:inswl 4+1</t>
  </si>
  <si>
    <t>WL W5 900</t>
  </si>
  <si>
    <t>CLS WVL W1 RED</t>
  </si>
  <si>
    <t>CLS WVL W3 BLU</t>
  </si>
  <si>
    <t>CLS WVL W4 MAG</t>
  </si>
  <si>
    <t>CLS WVL W5 YEL</t>
  </si>
  <si>
    <t>FOV</t>
    <phoneticPr fontId="1" type="noConversion"/>
  </si>
  <si>
    <t>GRAT_DEN</t>
  </si>
  <si>
    <t>thickness 0</t>
    <phoneticPr fontId="1" type="noConversion"/>
  </si>
  <si>
    <t>R1</t>
    <phoneticPr fontId="1" type="noConversion"/>
  </si>
  <si>
    <t>R2</t>
  </si>
  <si>
    <t>R3</t>
  </si>
  <si>
    <t>偏心角1</t>
    <phoneticPr fontId="1" type="noConversion"/>
  </si>
  <si>
    <t>偏心角2</t>
  </si>
  <si>
    <t>偏心角3</t>
  </si>
  <si>
    <t>A[1]</t>
    <phoneticPr fontId="1" type="noConversion"/>
  </si>
  <si>
    <t>A[2]</t>
  </si>
  <si>
    <t>A[3]</t>
  </si>
  <si>
    <t>A[4]</t>
  </si>
  <si>
    <t>A[5]</t>
  </si>
  <si>
    <t>A[6]</t>
  </si>
  <si>
    <t>A[7]</t>
  </si>
  <si>
    <t>A[8]</t>
  </si>
  <si>
    <t>A[9]</t>
  </si>
  <si>
    <t>A[10]</t>
  </si>
  <si>
    <t>A[11]</t>
  </si>
  <si>
    <t>A[12]</t>
  </si>
  <si>
    <r>
      <t>光柵間距</t>
    </r>
    <r>
      <rPr>
        <sz val="18"/>
        <color rgb="FF000000"/>
        <rFont val="新細明體"/>
        <family val="2"/>
        <charset val="136"/>
      </rPr>
      <t>0.0061mm</t>
    </r>
    <r>
      <rPr>
        <sz val="18"/>
        <color rgb="FF000000"/>
        <rFont val="新細明體"/>
        <family val="1"/>
        <charset val="136"/>
        <scheme val="minor"/>
      </rPr>
      <t>因此每</t>
    </r>
    <r>
      <rPr>
        <sz val="18"/>
        <color rgb="FF000000"/>
        <rFont val="新細明體"/>
        <family val="2"/>
        <charset val="136"/>
      </rPr>
      <t>1mm</t>
    </r>
    <r>
      <rPr>
        <sz val="18"/>
        <color rgb="FF000000"/>
        <rFont val="新細明體"/>
        <family val="1"/>
        <charset val="136"/>
        <scheme val="minor"/>
      </rPr>
      <t>有</t>
    </r>
    <r>
      <rPr>
        <sz val="18"/>
        <color rgb="FF000000"/>
        <rFont val="新細明體"/>
        <family val="2"/>
        <charset val="136"/>
      </rPr>
      <t>165</t>
    </r>
    <r>
      <rPr>
        <sz val="18"/>
        <color rgb="FF000000"/>
        <rFont val="新細明體"/>
        <family val="1"/>
        <charset val="136"/>
        <scheme val="minor"/>
      </rPr>
      <t>條狹縫</t>
    </r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</si>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</sst>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8"/>
      <color rgb="FF000000"/>
      <name val="新細明體"/>
      <family val="1"/>
      <charset val="136"/>
      <scheme val="minor"/>
    </font>
    <font>
      <sz val="18"/>
      <color rgb="FF000000"/>
      <name val="Calibri"/>
      <family val="2"/>
    </font>
    <font>
      <sz val="18"/>
      <color rgb="FF000000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0" xfId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8</xdr:row>
      <xdr:rowOff>180975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43600" y="185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3</xdr:col>
      <xdr:colOff>9525</xdr:colOff>
      <xdr:row>1</xdr:row>
      <xdr:rowOff>19050</xdr:rowOff>
    </xdr:from>
    <xdr:ext cx="568682" cy="161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字方塊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2066925" y="228600"/>
              <a:ext cx="568682" cy="161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US" altLang="zh-TW" sz="100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zh-TW" altLang="en-US" sz="100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</m:acc>
                    </m:e>
                    <m:sub>
                      <m:r>
                        <a:rPr lang="en-US" altLang="zh-TW" sz="100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altLang="zh-TW" sz="1000"/>
                <a:t>(degree)</a:t>
              </a:r>
              <a:endParaRPr lang="zh-TW" altLang="en-US" sz="1000"/>
            </a:p>
          </xdr:txBody>
        </xdr:sp>
      </mc:Choice>
      <mc:Fallback xmlns="">
        <xdr:sp macro="" textlink="">
          <xdr:nvSpPr>
            <xdr:cNvPr id="6" name="文字方塊 5"/>
            <xdr:cNvSpPr txBox="1"/>
          </xdr:nvSpPr>
          <xdr:spPr>
            <a:xfrm>
              <a:off x="2066925" y="228600"/>
              <a:ext cx="568682" cy="161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TW" altLang="en-US" sz="1000" i="0">
                  <a:latin typeface="Cambria Math" panose="02040503050406030204" pitchFamily="18" charset="0"/>
                </a:rPr>
                <a:t>𝜃</a:t>
              </a:r>
              <a:r>
                <a:rPr lang="en-US" altLang="zh-TW" sz="1000" i="0">
                  <a:latin typeface="Cambria Math"/>
                </a:rPr>
                <a:t> ̅_</a:t>
              </a:r>
              <a:r>
                <a:rPr lang="en-US" altLang="zh-TW" sz="1000" i="0">
                  <a:latin typeface="Cambria Math" panose="02040503050406030204" pitchFamily="18" charset="0"/>
                </a:rPr>
                <a:t>3</a:t>
              </a:r>
              <a:r>
                <a:rPr lang="en-US" altLang="zh-TW" sz="1000"/>
                <a:t>(degree)</a:t>
              </a:r>
              <a:endParaRPr lang="zh-TW" altLang="en-US" sz="1000"/>
            </a:p>
          </xdr:txBody>
        </xdr:sp>
      </mc:Fallback>
    </mc:AlternateContent>
    <xdr:clientData/>
  </xdr:oneCellAnchor>
  <xdr:twoCellAnchor>
    <xdr:from>
      <xdr:col>2</xdr:col>
      <xdr:colOff>638177</xdr:colOff>
      <xdr:row>3</xdr:row>
      <xdr:rowOff>19050</xdr:rowOff>
    </xdr:from>
    <xdr:to>
      <xdr:col>4</xdr:col>
      <xdr:colOff>114300</xdr:colOff>
      <xdr:row>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009777" y="647700"/>
              <a:ext cx="847723" cy="2095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TW" sz="10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US" altLang="zh-TW" sz="10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zh-TW" altLang="zh-TW" sz="10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𝜃</m:t>
                          </m:r>
                        </m:e>
                      </m:acc>
                    </m:e>
                    <m:sub>
                      <m:r>
                        <a:rPr lang="en-US" altLang="zh-TW" sz="10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altLang="zh-TW" sz="10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m:rPr>
                      <m:sty m:val="p"/>
                    </m:rPr>
                    <a:rPr lang="en-US" altLang="zh-TW" sz="10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rad</m:t>
                  </m:r>
                </m:oMath>
              </a14:m>
              <a:r>
                <a:rPr lang="en-US" altLang="zh-TW" sz="1000"/>
                <a:t>)</a:t>
              </a:r>
              <a:endParaRPr lang="zh-TW" altLang="en-US" sz="1000"/>
            </a:p>
          </xdr:txBody>
        </xdr:sp>
      </mc:Choice>
      <mc:Fallback xmlns="">
        <xdr:sp macro="" textlink="">
          <xdr:nvSpPr>
            <xdr:cNvPr id="7" name="文字方塊 6"/>
            <xdr:cNvSpPr txBox="1"/>
          </xdr:nvSpPr>
          <xdr:spPr>
            <a:xfrm>
              <a:off x="2009777" y="647700"/>
              <a:ext cx="847723" cy="2095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TW" altLang="zh-TW" sz="10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𝜃</a:t>
              </a:r>
              <a:r>
                <a:rPr lang="en-US" altLang="zh-TW" sz="10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 ̅_3</a:t>
              </a:r>
              <a:r>
                <a:rPr lang="en-US" altLang="zh-TW" sz="10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altLang="zh-TW" sz="10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rad</a:t>
              </a:r>
              <a:r>
                <a:rPr lang="en-US" altLang="zh-TW" sz="1000"/>
                <a:t>)</a:t>
              </a:r>
              <a:endParaRPr lang="zh-TW" altLang="en-US" sz="1000"/>
            </a:p>
          </xdr:txBody>
        </xdr:sp>
      </mc:Fallback>
    </mc:AlternateContent>
    <xdr:clientData/>
  </xdr:twoCellAnchor>
  <xdr:oneCellAnchor>
    <xdr:from>
      <xdr:col>3</xdr:col>
      <xdr:colOff>57150</xdr:colOff>
      <xdr:row>5</xdr:row>
      <xdr:rowOff>19050</xdr:rowOff>
    </xdr:from>
    <xdr:ext cx="4113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114550" y="1066800"/>
              <a:ext cx="4113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zh-TW" alt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zh-TW" altLang="en-US" sz="1100" i="1">
                          <a:latin typeface="Cambria Math" panose="02040503050406030204" pitchFamily="18" charset="0"/>
                        </a:rPr>
                        <m:t>𝜑</m:t>
                      </m:r>
                    </m:e>
                  </m:acc>
                  <m:r>
                    <a:rPr lang="en-US" altLang="zh-TW" sz="110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r>
                <a:rPr lang="en-US" altLang="zh-TW" sz="1100"/>
                <a:t>(rad)</a:t>
              </a:r>
              <a:endParaRPr lang="zh-TW" altLang="en-US" sz="1100"/>
            </a:p>
          </xdr:txBody>
        </xdr:sp>
      </mc:Choice>
      <mc:Fallback xmlns="">
        <xdr:sp macro="" textlink="">
          <xdr:nvSpPr>
            <xdr:cNvPr id="8" name="文字方塊 7"/>
            <xdr:cNvSpPr txBox="1"/>
          </xdr:nvSpPr>
          <xdr:spPr>
            <a:xfrm>
              <a:off x="2114550" y="1066800"/>
              <a:ext cx="4113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TW" altLang="en-US" sz="1100" i="0">
                  <a:latin typeface="Cambria Math" panose="02040503050406030204" pitchFamily="18" charset="0"/>
                </a:rPr>
                <a:t>𝜑</a:t>
              </a:r>
              <a:r>
                <a:rPr lang="zh-TW" altLang="en-US" sz="1100" i="0">
                  <a:latin typeface="Cambria Math"/>
                </a:rPr>
                <a:t> ̅</a:t>
              </a:r>
              <a:r>
                <a:rPr lang="en-US" altLang="zh-TW" sz="1100" i="0">
                  <a:latin typeface="Cambria Math" panose="02040503050406030204" pitchFamily="18" charset="0"/>
                </a:rPr>
                <a:t>′</a:t>
              </a:r>
              <a:r>
                <a:rPr lang="en-US" altLang="zh-TW" sz="1100"/>
                <a:t>(rad)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47624</xdr:colOff>
      <xdr:row>7</xdr:row>
      <xdr:rowOff>9525</xdr:rowOff>
    </xdr:from>
    <xdr:ext cx="847725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字方塊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105024" y="1476375"/>
              <a:ext cx="84772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zh-TW" altLang="en-US" sz="1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zh-TW" altLang="en-US" sz="1000" i="1">
                          <a:latin typeface="Cambria Math" panose="02040503050406030204" pitchFamily="18" charset="0"/>
                        </a:rPr>
                        <m:t>𝜑</m:t>
                      </m:r>
                    </m:e>
                  </m:acc>
                  <m:r>
                    <a:rPr lang="en-US" altLang="zh-TW" sz="1000" i="1">
                      <a:latin typeface="Cambria Math" panose="02040503050406030204" pitchFamily="18" charset="0"/>
                    </a:rPr>
                    <m:t>′</m:t>
                  </m:r>
                </m:oMath>
              </a14:m>
              <a:r>
                <a:rPr lang="en-US" altLang="zh-TW" sz="1000"/>
                <a:t>(degree)</a:t>
              </a:r>
              <a:endParaRPr lang="zh-TW" altLang="en-US" sz="1000"/>
            </a:p>
          </xdr:txBody>
        </xdr:sp>
      </mc:Choice>
      <mc:Fallback xmlns="">
        <xdr:sp macro="" textlink="">
          <xdr:nvSpPr>
            <xdr:cNvPr id="12" name="文字方塊 11"/>
            <xdr:cNvSpPr txBox="1"/>
          </xdr:nvSpPr>
          <xdr:spPr>
            <a:xfrm>
              <a:off x="2105024" y="1476375"/>
              <a:ext cx="84772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TW" altLang="en-US" sz="1000" i="0">
                  <a:latin typeface="Cambria Math" panose="02040503050406030204" pitchFamily="18" charset="0"/>
                </a:rPr>
                <a:t>𝜑</a:t>
              </a:r>
              <a:r>
                <a:rPr lang="zh-TW" altLang="en-US" sz="1000" i="0">
                  <a:latin typeface="Cambria Math"/>
                </a:rPr>
                <a:t> ̅</a:t>
              </a:r>
              <a:r>
                <a:rPr lang="en-US" altLang="zh-TW" sz="1000" i="0">
                  <a:latin typeface="Cambria Math" panose="02040503050406030204" pitchFamily="18" charset="0"/>
                </a:rPr>
                <a:t>′</a:t>
              </a:r>
              <a:r>
                <a:rPr lang="en-US" altLang="zh-TW" sz="1000"/>
                <a:t>(degree)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2</xdr:col>
      <xdr:colOff>666750</xdr:colOff>
      <xdr:row>8</xdr:row>
      <xdr:rowOff>200025</xdr:rowOff>
    </xdr:from>
    <xdr:ext cx="704850" cy="257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038350" y="1876425"/>
              <a:ext cx="704850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TW" altLang="en-US" sz="1000" i="1">
                        <a:latin typeface="Cambria Math"/>
                      </a:rPr>
                      <m:t>𝛼</m:t>
                    </m:r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𝑑𝑒𝑔𝑟𝑒𝑒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2038350" y="1876425"/>
              <a:ext cx="704850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zh-TW" altLang="en-US" sz="1000" i="0">
                  <a:latin typeface="Cambria Math"/>
                </a:rPr>
                <a:t>𝛼</a:t>
              </a:r>
              <a:r>
                <a:rPr lang="en-US" altLang="zh-TW" sz="1000" b="0" i="0">
                  <a:latin typeface="Cambria Math"/>
                </a:rPr>
                <a:t>(𝑑𝑒𝑔𝑟𝑒𝑒)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3</xdr:col>
      <xdr:colOff>66675</xdr:colOff>
      <xdr:row>10</xdr:row>
      <xdr:rowOff>204787</xdr:rowOff>
    </xdr:from>
    <xdr:ext cx="885825" cy="223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24075" y="2300287"/>
              <a:ext cx="885825" cy="223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zh-TW" altLang="en-US" sz="1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altLang="zh-TW" sz="10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zh-TW" altLang="en-US" sz="1000" i="1">
                              <a:latin typeface="Cambria Math"/>
                            </a:rPr>
                            <m:t>𝜃</m:t>
                          </m:r>
                        </m:e>
                        <m:sub>
                          <m:r>
                            <a:rPr lang="en-US" altLang="zh-TW" sz="1000" b="0" i="1">
                              <a:latin typeface="Cambria Math"/>
                            </a:rPr>
                            <m:t>2</m:t>
                          </m:r>
                        </m:sub>
                      </m:sSub>
                    </m:e>
                  </m:acc>
                  <m:r>
                    <a:rPr lang="en-US" altLang="zh-TW" sz="1000" b="0" i="1">
                      <a:latin typeface="Cambria Math"/>
                    </a:rPr>
                    <m:t>′</m:t>
                  </m:r>
                </m:oMath>
              </a14:m>
              <a:r>
                <a:rPr lang="en-US" altLang="zh-TW" sz="1000"/>
                <a:t>(degree)</a:t>
              </a:r>
              <a:endParaRPr lang="zh-TW" altLang="en-US" sz="1000"/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2124075" y="2300287"/>
              <a:ext cx="885825" cy="223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zh-TW" altLang="en-US" sz="1000" i="0">
                  <a:latin typeface="Cambria Math"/>
                </a:rPr>
                <a:t>(𝜃</a:t>
              </a:r>
              <a:r>
                <a:rPr lang="en-US" altLang="zh-TW" sz="1000" i="0">
                  <a:latin typeface="Cambria Math"/>
                </a:rPr>
                <a:t>_</a:t>
              </a:r>
              <a:r>
                <a:rPr lang="en-US" altLang="zh-TW" sz="1000" b="0" i="0">
                  <a:latin typeface="Cambria Math"/>
                </a:rPr>
                <a:t>2</a:t>
              </a:r>
              <a:r>
                <a:rPr lang="zh-TW" altLang="en-US" sz="1000" b="0" i="0">
                  <a:latin typeface="Cambria Math"/>
                </a:rPr>
                <a:t> ) ̅</a:t>
              </a:r>
              <a:r>
                <a:rPr lang="en-US" altLang="zh-TW" sz="1000" b="0" i="0">
                  <a:latin typeface="Cambria Math"/>
                </a:rPr>
                <a:t>′</a:t>
              </a:r>
              <a:r>
                <a:rPr lang="en-US" altLang="zh-TW" sz="1000"/>
                <a:t>(degree)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2</xdr:col>
      <xdr:colOff>657225</xdr:colOff>
      <xdr:row>13</xdr:row>
      <xdr:rowOff>0</xdr:rowOff>
    </xdr:from>
    <xdr:ext cx="914400" cy="234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028825" y="2724150"/>
              <a:ext cx="914400" cy="23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latin typeface="Cambria Math"/>
                          </a:rPr>
                          <m:t>𝑅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𝑚𝑚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5" name="文字方塊 4"/>
            <xdr:cNvSpPr txBox="1"/>
          </xdr:nvSpPr>
          <xdr:spPr>
            <a:xfrm>
              <a:off x="2028825" y="2724150"/>
              <a:ext cx="914400" cy="23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n-US" altLang="zh-TW" sz="1000" b="0" i="0">
                  <a:latin typeface="Cambria Math"/>
                </a:rPr>
                <a:t>𝑅_2 (𝑚𝑚)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3</xdr:col>
      <xdr:colOff>19050</xdr:colOff>
      <xdr:row>16</xdr:row>
      <xdr:rowOff>200025</xdr:rowOff>
    </xdr:from>
    <xdr:ext cx="876300" cy="215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字方塊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076450" y="3552825"/>
              <a:ext cx="876300" cy="215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latin typeface="Cambria Math"/>
                          </a:rPr>
                          <m:t>𝑅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𝑚𝑚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14" name="文字方塊 13"/>
            <xdr:cNvSpPr txBox="1"/>
          </xdr:nvSpPr>
          <xdr:spPr>
            <a:xfrm>
              <a:off x="2076450" y="3552825"/>
              <a:ext cx="876300" cy="215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n-US" altLang="zh-TW" sz="1000" b="0" i="0">
                  <a:latin typeface="Cambria Math"/>
                </a:rPr>
                <a:t>𝑅_3 (𝑚𝑚)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3</xdr:col>
      <xdr:colOff>19050</xdr:colOff>
      <xdr:row>18</xdr:row>
      <xdr:rowOff>204787</xdr:rowOff>
    </xdr:from>
    <xdr:ext cx="914400" cy="248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2076450" y="3976687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000" i="1">
                            <a:latin typeface="Cambria Math"/>
                          </a:rPr>
                          <m:t>𝜃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𝑑𝑒𝑔𝑟𝑒𝑒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15" name="文字方塊 14"/>
            <xdr:cNvSpPr txBox="1"/>
          </xdr:nvSpPr>
          <xdr:spPr>
            <a:xfrm>
              <a:off x="2076450" y="3976687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zh-TW" altLang="en-US" sz="1000" i="0">
                  <a:latin typeface="Cambria Math"/>
                </a:rPr>
                <a:t>𝜃</a:t>
              </a:r>
              <a:r>
                <a:rPr lang="en-US" altLang="zh-TW" sz="1000" i="0">
                  <a:latin typeface="Cambria Math"/>
                </a:rPr>
                <a:t>_</a:t>
              </a:r>
              <a:r>
                <a:rPr lang="en-US" altLang="zh-TW" sz="1000" b="0" i="0">
                  <a:latin typeface="Cambria Math"/>
                </a:rPr>
                <a:t>2 (𝑑𝑒𝑔𝑟𝑒𝑒)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2</xdr:col>
      <xdr:colOff>647700</xdr:colOff>
      <xdr:row>22</xdr:row>
      <xdr:rowOff>204787</xdr:rowOff>
    </xdr:from>
    <xdr:ext cx="904875" cy="248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字方塊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2019300" y="4814887"/>
              <a:ext cx="904875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TW" altLang="en-US" sz="1000" i="1">
                        <a:latin typeface="Cambria Math"/>
                      </a:rPr>
                      <m:t>𝜑</m:t>
                    </m:r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𝑑𝑒𝑔𝑟𝑒𝑒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16" name="文字方塊 15"/>
            <xdr:cNvSpPr txBox="1"/>
          </xdr:nvSpPr>
          <xdr:spPr>
            <a:xfrm>
              <a:off x="2019300" y="4814887"/>
              <a:ext cx="904875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TW" altLang="en-US" sz="1000" i="0">
                  <a:latin typeface="Cambria Math"/>
                </a:rPr>
                <a:t>𝜑</a:t>
              </a:r>
              <a:r>
                <a:rPr lang="en-US" altLang="zh-TW" sz="1000" b="0" i="0">
                  <a:latin typeface="Cambria Math"/>
                </a:rPr>
                <a:t>(𝑑𝑒𝑔𝑟𝑒𝑒)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3</xdr:col>
      <xdr:colOff>19050</xdr:colOff>
      <xdr:row>25</xdr:row>
      <xdr:rowOff>0</xdr:rowOff>
    </xdr:from>
    <xdr:ext cx="914400" cy="248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字方塊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076450" y="5238750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000" i="1">
                            <a:latin typeface="Cambria Math"/>
                          </a:rPr>
                          <m:t>𝜃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𝑑𝑒𝑔𝑟𝑒𝑒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17" name="文字方塊 16"/>
            <xdr:cNvSpPr txBox="1"/>
          </xdr:nvSpPr>
          <xdr:spPr>
            <a:xfrm>
              <a:off x="2076450" y="5238750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zh-TW" altLang="en-US" sz="1000" i="0">
                  <a:latin typeface="Cambria Math"/>
                </a:rPr>
                <a:t>𝜃</a:t>
              </a:r>
              <a:r>
                <a:rPr lang="en-US" altLang="zh-TW" sz="1000" i="0">
                  <a:latin typeface="Cambria Math"/>
                </a:rPr>
                <a:t>_</a:t>
              </a:r>
              <a:r>
                <a:rPr lang="en-US" altLang="zh-TW" sz="1000" b="0" i="0">
                  <a:latin typeface="Cambria Math"/>
                </a:rPr>
                <a:t>1 (𝑑𝑒𝑔𝑟𝑒𝑒)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2</xdr:col>
      <xdr:colOff>657225</xdr:colOff>
      <xdr:row>27</xdr:row>
      <xdr:rowOff>9525</xdr:rowOff>
    </xdr:from>
    <xdr:ext cx="876300" cy="215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字方塊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2028825" y="5667375"/>
              <a:ext cx="876300" cy="215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latin typeface="Cambria Math"/>
                          </a:rPr>
                          <m:t>𝑅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𝑚𝑚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18" name="文字方塊 17"/>
            <xdr:cNvSpPr txBox="1"/>
          </xdr:nvSpPr>
          <xdr:spPr>
            <a:xfrm>
              <a:off x="2028825" y="5667375"/>
              <a:ext cx="876300" cy="215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n-US" altLang="zh-TW" sz="1000" b="0" i="0">
                  <a:latin typeface="Cambria Math"/>
                </a:rPr>
                <a:t>𝑅_1 (𝑚𝑚)</a:t>
              </a:r>
              <a:endParaRPr lang="zh-TW" altLang="en-US" sz="1000"/>
            </a:p>
          </xdr:txBody>
        </xdr:sp>
      </mc:Fallback>
    </mc:AlternateContent>
    <xdr:clientData/>
  </xdr:oneCellAnchor>
  <xdr:twoCellAnchor editAs="oneCell">
    <xdr:from>
      <xdr:col>6</xdr:col>
      <xdr:colOff>276225</xdr:colOff>
      <xdr:row>12</xdr:row>
      <xdr:rowOff>66675</xdr:rowOff>
    </xdr:from>
    <xdr:to>
      <xdr:col>11</xdr:col>
      <xdr:colOff>457704</xdr:colOff>
      <xdr:row>13</xdr:row>
      <xdr:rowOff>200073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2581275"/>
          <a:ext cx="3610479" cy="342948"/>
        </a:xfrm>
        <a:prstGeom prst="rect">
          <a:avLst/>
        </a:prstGeom>
      </xdr:spPr>
    </xdr:pic>
    <xdr:clientData/>
  </xdr:twoCellAnchor>
  <xdr:twoCellAnchor editAs="oneCell">
    <xdr:from>
      <xdr:col>6</xdr:col>
      <xdr:colOff>264300</xdr:colOff>
      <xdr:row>18</xdr:row>
      <xdr:rowOff>178575</xdr:rowOff>
    </xdr:from>
    <xdr:to>
      <xdr:col>13</xdr:col>
      <xdr:colOff>284023</xdr:colOff>
      <xdr:row>20</xdr:row>
      <xdr:rowOff>178634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950" y="3950475"/>
          <a:ext cx="4820323" cy="419159"/>
        </a:xfrm>
        <a:prstGeom prst="rect">
          <a:avLst/>
        </a:prstGeom>
      </xdr:spPr>
    </xdr:pic>
    <xdr:clientData/>
  </xdr:twoCellAnchor>
  <xdr:twoCellAnchor editAs="oneCell">
    <xdr:from>
      <xdr:col>6</xdr:col>
      <xdr:colOff>233325</xdr:colOff>
      <xdr:row>15</xdr:row>
      <xdr:rowOff>33300</xdr:rowOff>
    </xdr:from>
    <xdr:to>
      <xdr:col>11</xdr:col>
      <xdr:colOff>633910</xdr:colOff>
      <xdr:row>16</xdr:row>
      <xdr:rowOff>80961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2975" y="3176550"/>
          <a:ext cx="3829585" cy="257211"/>
        </a:xfrm>
        <a:prstGeom prst="rect">
          <a:avLst/>
        </a:prstGeom>
      </xdr:spPr>
    </xdr:pic>
    <xdr:clientData/>
  </xdr:twoCellAnchor>
  <xdr:twoCellAnchor editAs="oneCell">
    <xdr:from>
      <xdr:col>6</xdr:col>
      <xdr:colOff>192825</xdr:colOff>
      <xdr:row>9</xdr:row>
      <xdr:rowOff>107100</xdr:rowOff>
    </xdr:from>
    <xdr:to>
      <xdr:col>11</xdr:col>
      <xdr:colOff>631515</xdr:colOff>
      <xdr:row>11</xdr:row>
      <xdr:rowOff>40474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2475" y="1993050"/>
          <a:ext cx="3867690" cy="352474"/>
        </a:xfrm>
        <a:prstGeom prst="rect">
          <a:avLst/>
        </a:prstGeom>
      </xdr:spPr>
    </xdr:pic>
    <xdr:clientData/>
  </xdr:twoCellAnchor>
  <xdr:twoCellAnchor editAs="oneCell">
    <xdr:from>
      <xdr:col>6</xdr:col>
      <xdr:colOff>285675</xdr:colOff>
      <xdr:row>16</xdr:row>
      <xdr:rowOff>171375</xdr:rowOff>
    </xdr:from>
    <xdr:to>
      <xdr:col>12</xdr:col>
      <xdr:colOff>460</xdr:colOff>
      <xdr:row>18</xdr:row>
      <xdr:rowOff>123802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625" y="3524175"/>
          <a:ext cx="3829585" cy="371527"/>
        </a:xfrm>
        <a:prstGeom prst="rect">
          <a:avLst/>
        </a:prstGeom>
      </xdr:spPr>
    </xdr:pic>
    <xdr:clientData/>
  </xdr:twoCellAnchor>
  <xdr:twoCellAnchor editAs="oneCell">
    <xdr:from>
      <xdr:col>6</xdr:col>
      <xdr:colOff>264225</xdr:colOff>
      <xdr:row>4</xdr:row>
      <xdr:rowOff>111825</xdr:rowOff>
    </xdr:from>
    <xdr:to>
      <xdr:col>11</xdr:col>
      <xdr:colOff>636231</xdr:colOff>
      <xdr:row>6</xdr:row>
      <xdr:rowOff>102357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875" y="950025"/>
          <a:ext cx="3801006" cy="409632"/>
        </a:xfrm>
        <a:prstGeom prst="rect">
          <a:avLst/>
        </a:prstGeom>
      </xdr:spPr>
    </xdr:pic>
    <xdr:clientData/>
  </xdr:twoCellAnchor>
  <xdr:twoCellAnchor editAs="oneCell">
    <xdr:from>
      <xdr:col>6</xdr:col>
      <xdr:colOff>185625</xdr:colOff>
      <xdr:row>0</xdr:row>
      <xdr:rowOff>61800</xdr:rowOff>
    </xdr:from>
    <xdr:to>
      <xdr:col>13</xdr:col>
      <xdr:colOff>433980</xdr:colOff>
      <xdr:row>2</xdr:row>
      <xdr:rowOff>61859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5275" y="61800"/>
          <a:ext cx="5048955" cy="419159"/>
        </a:xfrm>
        <a:prstGeom prst="rect">
          <a:avLst/>
        </a:prstGeom>
      </xdr:spPr>
    </xdr:pic>
    <xdr:clientData/>
  </xdr:twoCellAnchor>
  <xdr:twoCellAnchor editAs="oneCell">
    <xdr:from>
      <xdr:col>6</xdr:col>
      <xdr:colOff>202275</xdr:colOff>
      <xdr:row>2</xdr:row>
      <xdr:rowOff>97500</xdr:rowOff>
    </xdr:from>
    <xdr:to>
      <xdr:col>12</xdr:col>
      <xdr:colOff>31376</xdr:colOff>
      <xdr:row>4</xdr:row>
      <xdr:rowOff>154717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1925" y="516600"/>
          <a:ext cx="3943901" cy="476317"/>
        </a:xfrm>
        <a:prstGeom prst="rect">
          <a:avLst/>
        </a:prstGeom>
      </xdr:spPr>
    </xdr:pic>
    <xdr:clientData/>
  </xdr:twoCellAnchor>
  <xdr:twoCellAnchor editAs="oneCell">
    <xdr:from>
      <xdr:col>6</xdr:col>
      <xdr:colOff>199875</xdr:colOff>
      <xdr:row>6</xdr:row>
      <xdr:rowOff>123675</xdr:rowOff>
    </xdr:from>
    <xdr:to>
      <xdr:col>11</xdr:col>
      <xdr:colOff>228933</xdr:colOff>
      <xdr:row>8</xdr:row>
      <xdr:rowOff>66576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825" y="1380975"/>
          <a:ext cx="3458058" cy="36200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23</xdr:row>
      <xdr:rowOff>66675</xdr:rowOff>
    </xdr:from>
    <xdr:to>
      <xdr:col>12</xdr:col>
      <xdr:colOff>304800</xdr:colOff>
      <xdr:row>34</xdr:row>
      <xdr:rowOff>35354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75" y="4886325"/>
          <a:ext cx="5153025" cy="2273729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28574</xdr:colOff>
      <xdr:row>1</xdr:row>
      <xdr:rowOff>114300</xdr:rowOff>
    </xdr:from>
    <xdr:to>
      <xdr:col>21</xdr:col>
      <xdr:colOff>222733</xdr:colOff>
      <xdr:row>13</xdr:row>
      <xdr:rowOff>9525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4624" y="323850"/>
          <a:ext cx="4994759" cy="2409825"/>
        </a:xfrm>
        <a:prstGeom prst="rect">
          <a:avLst/>
        </a:prstGeom>
      </xdr:spPr>
    </xdr:pic>
    <xdr:clientData/>
  </xdr:twoCellAnchor>
  <xdr:twoCellAnchor editAs="oneCell">
    <xdr:from>
      <xdr:col>14</xdr:col>
      <xdr:colOff>150000</xdr:colOff>
      <xdr:row>14</xdr:row>
      <xdr:rowOff>178576</xdr:rowOff>
    </xdr:from>
    <xdr:to>
      <xdr:col>20</xdr:col>
      <xdr:colOff>403295</xdr:colOff>
      <xdr:row>24</xdr:row>
      <xdr:rowOff>95250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6050" y="3112276"/>
          <a:ext cx="4368095" cy="2012174"/>
        </a:xfrm>
        <a:prstGeom prst="rect">
          <a:avLst/>
        </a:prstGeom>
      </xdr:spPr>
    </xdr:pic>
    <xdr:clientData/>
  </xdr:twoCellAnchor>
  <xdr:oneCellAnchor>
    <xdr:from>
      <xdr:col>1</xdr:col>
      <xdr:colOff>657225</xdr:colOff>
      <xdr:row>36</xdr:row>
      <xdr:rowOff>9525</xdr:rowOff>
    </xdr:from>
    <xdr:ext cx="876300" cy="215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字方塊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2028825" y="5667375"/>
              <a:ext cx="876300" cy="215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latin typeface="Cambria Math"/>
                          </a:rPr>
                          <m:t>𝑅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𝑚𝑚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28" name="文字方塊 27"/>
            <xdr:cNvSpPr txBox="1"/>
          </xdr:nvSpPr>
          <xdr:spPr>
            <a:xfrm>
              <a:off x="2028825" y="5667375"/>
              <a:ext cx="876300" cy="215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altLang="zh-TW" sz="1000" b="0" i="0">
                  <a:latin typeface="Cambria Math"/>
                </a:rPr>
                <a:t>𝑅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/>
                </a:rPr>
                <a:t>1 (𝑚𝑚)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1</xdr:col>
      <xdr:colOff>657225</xdr:colOff>
      <xdr:row>37</xdr:row>
      <xdr:rowOff>0</xdr:rowOff>
    </xdr:from>
    <xdr:ext cx="914400" cy="234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文字方塊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2028825" y="2724150"/>
              <a:ext cx="914400" cy="23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latin typeface="Cambria Math"/>
                          </a:rPr>
                          <m:t>𝑅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𝑚𝑚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29" name="文字方塊 28"/>
            <xdr:cNvSpPr txBox="1"/>
          </xdr:nvSpPr>
          <xdr:spPr>
            <a:xfrm>
              <a:off x="2028825" y="2724150"/>
              <a:ext cx="914400" cy="23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altLang="zh-TW" sz="1000" b="0" i="0">
                  <a:latin typeface="Cambria Math"/>
                </a:rPr>
                <a:t>𝑅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/>
                </a:rPr>
                <a:t>2 (𝑚𝑚)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2</xdr:col>
      <xdr:colOff>19050</xdr:colOff>
      <xdr:row>37</xdr:row>
      <xdr:rowOff>200025</xdr:rowOff>
    </xdr:from>
    <xdr:ext cx="876300" cy="215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字方塊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2076450" y="3552825"/>
              <a:ext cx="876300" cy="215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000" b="0" i="1">
                            <a:latin typeface="Cambria Math"/>
                          </a:rPr>
                          <m:t>𝑅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𝑚𝑚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30" name="文字方塊 29"/>
            <xdr:cNvSpPr txBox="1"/>
          </xdr:nvSpPr>
          <xdr:spPr>
            <a:xfrm>
              <a:off x="2076450" y="3552825"/>
              <a:ext cx="876300" cy="215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n-US" altLang="zh-TW" sz="1000" b="0" i="0">
                  <a:latin typeface="Cambria Math"/>
                </a:rPr>
                <a:t>𝑅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/>
                </a:rPr>
                <a:t>3 (𝑚𝑚)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2</xdr:col>
      <xdr:colOff>19050</xdr:colOff>
      <xdr:row>40</xdr:row>
      <xdr:rowOff>0</xdr:rowOff>
    </xdr:from>
    <xdr:ext cx="914400" cy="248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字方塊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2076450" y="5238750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000" i="1">
                            <a:latin typeface="Cambria Math"/>
                          </a:rPr>
                          <m:t>𝜃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𝑑𝑒𝑔𝑟𝑒𝑒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31" name="文字方塊 30"/>
            <xdr:cNvSpPr txBox="1"/>
          </xdr:nvSpPr>
          <xdr:spPr>
            <a:xfrm>
              <a:off x="2076450" y="5238750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zh-TW" altLang="en-US" sz="1000" i="0">
                  <a:latin typeface="Cambria Math"/>
                </a:rPr>
                <a:t>𝜃</a:t>
              </a:r>
              <a:r>
                <a:rPr lang="en-US" altLang="zh-TW" sz="100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/>
                </a:rPr>
                <a:t>1 (𝑑𝑒𝑔𝑟𝑒𝑒)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2</xdr:col>
      <xdr:colOff>19050</xdr:colOff>
      <xdr:row>40</xdr:row>
      <xdr:rowOff>204787</xdr:rowOff>
    </xdr:from>
    <xdr:ext cx="914400" cy="248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文字方塊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2076450" y="3976687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000" i="1">
                            <a:latin typeface="Cambria Math"/>
                          </a:rPr>
                          <m:t>𝜃</m:t>
                        </m:r>
                      </m:e>
                      <m:sub>
                        <m:r>
                          <a:rPr lang="en-US" altLang="zh-TW" sz="10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𝑑𝑒𝑔𝑟𝑒𝑒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32" name="文字方塊 31"/>
            <xdr:cNvSpPr txBox="1"/>
          </xdr:nvSpPr>
          <xdr:spPr>
            <a:xfrm>
              <a:off x="2076450" y="3976687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zh-TW" altLang="en-US" sz="1000" i="0">
                  <a:latin typeface="Cambria Math"/>
                </a:rPr>
                <a:t>𝜃</a:t>
              </a:r>
              <a:r>
                <a:rPr lang="en-US" altLang="zh-TW" sz="100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/>
                </a:rPr>
                <a:t>2 (𝑑𝑒𝑔𝑟𝑒𝑒)</a:t>
              </a:r>
              <a:endParaRPr lang="zh-TW" altLang="en-US" sz="1000"/>
            </a:p>
          </xdr:txBody>
        </xdr:sp>
      </mc:Fallback>
    </mc:AlternateContent>
    <xdr:clientData/>
  </xdr:oneCellAnchor>
  <xdr:oneCellAnchor>
    <xdr:from>
      <xdr:col>2</xdr:col>
      <xdr:colOff>19050</xdr:colOff>
      <xdr:row>41</xdr:row>
      <xdr:rowOff>204787</xdr:rowOff>
    </xdr:from>
    <xdr:ext cx="914400" cy="248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文字方塊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076450" y="3976687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000" i="1">
                            <a:latin typeface="Cambria Math"/>
                          </a:rPr>
                          <m:t>𝜃</m:t>
                        </m:r>
                      </m:e>
                      <m:sub>
                        <m:r>
                          <a:rPr lang="en-US" altLang="zh-TW" sz="10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altLang="zh-TW" sz="1000" b="0" i="1">
                        <a:latin typeface="Cambria Math"/>
                      </a:rPr>
                      <m:t>(</m:t>
                    </m:r>
                    <m:r>
                      <a:rPr lang="en-US" altLang="zh-TW" sz="1000" b="0" i="1">
                        <a:latin typeface="Cambria Math"/>
                      </a:rPr>
                      <m:t>𝑑𝑒𝑔𝑟𝑒𝑒</m:t>
                    </m:r>
                    <m:r>
                      <a:rPr lang="en-US" altLang="zh-TW" sz="10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zh-TW" altLang="en-US" sz="1000"/>
            </a:p>
          </xdr:txBody>
        </xdr:sp>
      </mc:Choice>
      <mc:Fallback xmlns="">
        <xdr:sp macro="" textlink="">
          <xdr:nvSpPr>
            <xdr:cNvPr id="33" name="文字方塊 32"/>
            <xdr:cNvSpPr txBox="1"/>
          </xdr:nvSpPr>
          <xdr:spPr>
            <a:xfrm>
              <a:off x="2076450" y="3976687"/>
              <a:ext cx="914400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zh-TW" altLang="en-US" sz="1000" i="0">
                  <a:latin typeface="Cambria Math"/>
                </a:rPr>
                <a:t>𝜃</a:t>
              </a:r>
              <a:r>
                <a:rPr lang="en-US" altLang="zh-TW" sz="1000" i="0">
                  <a:latin typeface="Cambria Math" panose="02040503050406030204" pitchFamily="18" charset="0"/>
                </a:rPr>
                <a:t>_</a:t>
              </a:r>
              <a:r>
                <a:rPr lang="en-US" altLang="zh-TW" sz="1000" b="0" i="0">
                  <a:latin typeface="Cambria Math" panose="02040503050406030204" pitchFamily="18" charset="0"/>
                </a:rPr>
                <a:t>3</a:t>
              </a:r>
              <a:r>
                <a:rPr lang="en-US" altLang="zh-TW" sz="1000" b="0" i="0">
                  <a:latin typeface="Cambria Math"/>
                </a:rPr>
                <a:t> (𝑑𝑒𝑔𝑟𝑒𝑒)</a:t>
              </a:r>
              <a:endParaRPr lang="zh-TW" altLang="en-US" sz="1000"/>
            </a:p>
          </xdr:txBody>
        </xdr:sp>
      </mc:Fallback>
    </mc:AlternateContent>
    <xdr:clientData/>
  </xdr:oneCellAnchor>
  <xdr:twoCellAnchor>
    <xdr:from>
      <xdr:col>13</xdr:col>
      <xdr:colOff>504825</xdr:colOff>
      <xdr:row>26</xdr:row>
      <xdr:rowOff>123825</xdr:rowOff>
    </xdr:from>
    <xdr:to>
      <xdr:col>16</xdr:col>
      <xdr:colOff>541040</xdr:colOff>
      <xdr:row>32</xdr:row>
      <xdr:rowOff>66854</xdr:rowOff>
    </xdr:to>
    <xdr:sp macro="" textlink="">
      <xdr:nvSpPr>
        <xdr:cNvPr id="34" name="文字方塊 22">
          <a:extLst>
            <a:ext uri="{FF2B5EF4-FFF2-40B4-BE49-F238E27FC236}">
              <a16:creationId xmlns:a16="http://schemas.microsoft.com/office/drawing/2014/main" id="{A6E7E9FB-B06A-449D-83C4-5B338D0085E8}"/>
            </a:ext>
          </a:extLst>
        </xdr:cNvPr>
        <xdr:cNvSpPr txBox="1"/>
      </xdr:nvSpPr>
      <xdr:spPr>
        <a:xfrm>
          <a:off x="11001375" y="5572125"/>
          <a:ext cx="2093615" cy="12003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TW" altLang="en-US"/>
            <a:t>設定繞射階數</a:t>
          </a:r>
          <a:endParaRPr lang="en-US" altLang="zh-TW"/>
        </a:p>
        <a:p>
          <a:r>
            <a:rPr lang="en-US" altLang="zh-TW"/>
            <a:t>Excel: -1</a:t>
          </a:r>
        </a:p>
        <a:p>
          <a:endParaRPr lang="en-US" altLang="zh-TW"/>
        </a:p>
        <a:p>
          <a:r>
            <a:rPr lang="en-US" altLang="zh-TW"/>
            <a:t>Code</a:t>
          </a:r>
          <a:r>
            <a:rPr lang="zh-TW" altLang="en-US"/>
            <a:t> </a:t>
          </a:r>
          <a:r>
            <a:rPr lang="en-US" altLang="zh-TW"/>
            <a:t>V: 1</a:t>
          </a:r>
          <a:endParaRPr lang="zh-TW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topLeftCell="A7" workbookViewId="0">
      <selection activeCell="D32" sqref="D32"/>
    </sheetView>
  </sheetViews>
  <sheetFormatPr defaultRowHeight="16.5" x14ac:dyDescent="0.25"/>
  <cols>
    <col min="2" max="3" width="11.25" customWidth="1"/>
    <col min="4" max="4" width="13.625" bestFit="1" customWidth="1"/>
    <col min="5" max="5" width="16" customWidth="1"/>
    <col min="6" max="6" width="13.625" bestFit="1" customWidth="1"/>
  </cols>
  <sheetData>
    <row r="1" spans="1:6" x14ac:dyDescent="0.25">
      <c r="A1" t="s">
        <v>8</v>
      </c>
      <c r="F1" t="s">
        <v>2</v>
      </c>
    </row>
    <row r="2" spans="1:6" x14ac:dyDescent="0.25">
      <c r="A2" t="s">
        <v>6</v>
      </c>
      <c r="F2">
        <f>((SIN(D5)^3)/COS(D5))+TAN(D7)-(TAN(D5)*COS(2*D5)*TAN(D7)^2)+((1+2*SIN(D5)^2)*TAN(D7)^3/2)</f>
        <v>-3.6421436868278833E-5</v>
      </c>
    </row>
    <row r="3" spans="1:6" x14ac:dyDescent="0.25">
      <c r="A3" s="1">
        <f>800*10^(-6)</f>
        <v>7.9999999999999993E-4</v>
      </c>
      <c r="D3" s="1">
        <v>15</v>
      </c>
      <c r="F3" t="s">
        <v>3</v>
      </c>
    </row>
    <row r="4" spans="1:6" x14ac:dyDescent="0.25">
      <c r="A4" t="s">
        <v>7</v>
      </c>
      <c r="F4">
        <f>D7-ATAN((SIN(2*D7))/2)</f>
        <v>-5.7392937199106375E-6</v>
      </c>
    </row>
    <row r="5" spans="1:6" x14ac:dyDescent="0.25">
      <c r="A5" s="1">
        <f>1300*10^(-6)</f>
        <v>1.2999999999999999E-3</v>
      </c>
      <c r="D5">
        <f>D3*PI()/180</f>
        <v>0.26179938779914941</v>
      </c>
      <c r="F5" t="s">
        <v>4</v>
      </c>
    </row>
    <row r="6" spans="1:6" x14ac:dyDescent="0.25">
      <c r="A6" t="s">
        <v>74</v>
      </c>
      <c r="F6">
        <f>D9+2*D3</f>
        <v>28.974060262852699</v>
      </c>
    </row>
    <row r="7" spans="1:6" x14ac:dyDescent="0.25">
      <c r="A7" s="6">
        <v>12.8</v>
      </c>
      <c r="D7">
        <v>-1.7906026340265585E-2</v>
      </c>
      <c r="F7" t="s">
        <v>9</v>
      </c>
    </row>
    <row r="8" spans="1:6" x14ac:dyDescent="0.25">
      <c r="A8" t="s">
        <v>73</v>
      </c>
      <c r="F8">
        <f>A7/(A13*A15*A3)</f>
        <v>-106.66666666666667</v>
      </c>
    </row>
    <row r="9" spans="1:6" x14ac:dyDescent="0.25">
      <c r="A9" s="1">
        <v>16</v>
      </c>
      <c r="D9">
        <f>(D7*180/PI())</f>
        <v>-1.0259397371473014</v>
      </c>
      <c r="F9" t="s">
        <v>10</v>
      </c>
    </row>
    <row r="10" spans="1:6" x14ac:dyDescent="0.25">
      <c r="A10" t="s">
        <v>0</v>
      </c>
      <c r="F10">
        <f>D15*SIN(D13*PI()/180)</f>
        <v>-51.670784069686874</v>
      </c>
    </row>
    <row r="11" spans="1:6" x14ac:dyDescent="0.25">
      <c r="A11" s="1">
        <f>1/15*(180/PI())</f>
        <v>3.8197186342054881</v>
      </c>
      <c r="D11">
        <f>F4*180/PI()</f>
        <v>-3.2883730753681796E-4</v>
      </c>
      <c r="F11" t="s">
        <v>12</v>
      </c>
    </row>
    <row r="12" spans="1:6" x14ac:dyDescent="0.25">
      <c r="A12" s="1" t="s">
        <v>1</v>
      </c>
      <c r="F12">
        <f>F10/SIN(D5)</f>
        <v>-199.6405791900653</v>
      </c>
    </row>
    <row r="13" spans="1:6" x14ac:dyDescent="0.25">
      <c r="A13" s="1">
        <v>-1</v>
      </c>
      <c r="D13" s="5">
        <f>F6</f>
        <v>28.974060262852699</v>
      </c>
      <c r="F13" t="s">
        <v>13</v>
      </c>
    </row>
    <row r="14" spans="1:6" x14ac:dyDescent="0.25">
      <c r="A14" s="6" t="s">
        <v>5</v>
      </c>
      <c r="F14">
        <f>ASIN(((-1)*A5*A15)-SIN(D13*PI()/180))</f>
        <v>-0.74696316328231005</v>
      </c>
    </row>
    <row r="15" spans="1:6" x14ac:dyDescent="0.25">
      <c r="A15">
        <v>150</v>
      </c>
      <c r="D15" s="6">
        <f>F8</f>
        <v>-106.66666666666667</v>
      </c>
      <c r="F15" t="s">
        <v>14</v>
      </c>
    </row>
    <row r="16" spans="1:6" x14ac:dyDescent="0.25">
      <c r="D16" t="s">
        <v>11</v>
      </c>
      <c r="F16">
        <f>(-D15)*SIN(D21*PI()/180)</f>
        <v>-72.470784069686886</v>
      </c>
    </row>
    <row r="17" spans="1:6" x14ac:dyDescent="0.25">
      <c r="A17">
        <f>1/150</f>
        <v>6.6666666666666671E-3</v>
      </c>
      <c r="D17">
        <f>ABS(F10)</f>
        <v>51.670784069686874</v>
      </c>
      <c r="F17" t="s">
        <v>16</v>
      </c>
    </row>
    <row r="18" spans="1:6" x14ac:dyDescent="0.25">
      <c r="F18">
        <f>ATAN(-SIN(D13*PI()/180)*TAN(D7)/SIN(D21*PI()/180))</f>
        <v>-1.2767448973847585E-2</v>
      </c>
    </row>
    <row r="19" spans="1:6" x14ac:dyDescent="0.25">
      <c r="A19">
        <f>1/0.008</f>
        <v>125</v>
      </c>
      <c r="D19" s="6">
        <f>F12</f>
        <v>-199.6405791900653</v>
      </c>
      <c r="F19" t="s">
        <v>17</v>
      </c>
    </row>
    <row r="20" spans="1:6" x14ac:dyDescent="0.25">
      <c r="A20">
        <f>1/0.014</f>
        <v>71.428571428571431</v>
      </c>
      <c r="F20">
        <f>(D25-D21)/2</f>
        <v>21.033157883233827</v>
      </c>
    </row>
    <row r="21" spans="1:6" x14ac:dyDescent="0.25">
      <c r="D21">
        <f>F14*180/PI()</f>
        <v>-42.797836707817751</v>
      </c>
      <c r="F21" t="s">
        <v>18</v>
      </c>
    </row>
    <row r="22" spans="1:6" x14ac:dyDescent="0.25">
      <c r="D22" t="s">
        <v>15</v>
      </c>
      <c r="F22">
        <f>F16/SIN(D27*PI()/180)</f>
        <v>-201.92013160443997</v>
      </c>
    </row>
    <row r="23" spans="1:6" x14ac:dyDescent="0.25">
      <c r="D23">
        <f>ABS(F16)</f>
        <v>72.470784069686886</v>
      </c>
    </row>
    <row r="24" spans="1:6" x14ac:dyDescent="0.25">
      <c r="A24" s="6">
        <v>9.2159999999999993</v>
      </c>
    </row>
    <row r="25" spans="1:6" x14ac:dyDescent="0.25">
      <c r="D25">
        <f>F18*180/PI()</f>
        <v>-0.73152094135010037</v>
      </c>
    </row>
    <row r="27" spans="1:6" x14ac:dyDescent="0.25">
      <c r="D27" s="5">
        <f>F20</f>
        <v>21.033157883233827</v>
      </c>
    </row>
    <row r="29" spans="1:6" x14ac:dyDescent="0.25">
      <c r="D29" s="6">
        <f>F22</f>
        <v>-201.92013160443997</v>
      </c>
    </row>
    <row r="31" spans="1:6" x14ac:dyDescent="0.25">
      <c r="C31" t="s">
        <v>19</v>
      </c>
    </row>
    <row r="32" spans="1:6" x14ac:dyDescent="0.25">
      <c r="C32" s="6" t="s">
        <v>20</v>
      </c>
      <c r="D32">
        <f>-D29*COS(D27*PI()/180)</f>
        <v>188.46677426931032</v>
      </c>
      <c r="E32" s="5">
        <f>D32</f>
        <v>188.46677426931032</v>
      </c>
    </row>
    <row r="33" spans="1:16" x14ac:dyDescent="0.25">
      <c r="C33" s="6" t="s">
        <v>21</v>
      </c>
      <c r="D33">
        <f>D32+D15*COS(-D21*PI()/180)</f>
        <v>110.19951908489367</v>
      </c>
      <c r="E33" s="5">
        <f>-D33</f>
        <v>-110.19951908489367</v>
      </c>
    </row>
    <row r="34" spans="1:16" x14ac:dyDescent="0.25">
      <c r="A34" t="s">
        <v>72</v>
      </c>
      <c r="C34" s="6" t="s">
        <v>22</v>
      </c>
      <c r="D34">
        <f>D35+D15*COS(D21*PI()/180)</f>
        <v>107.75517979499531</v>
      </c>
      <c r="E34" s="5">
        <f>D34</f>
        <v>107.75517979499531</v>
      </c>
    </row>
    <row r="35" spans="1:16" x14ac:dyDescent="0.25">
      <c r="A35" s="5">
        <f>(ASIN((-D15*SIN(D21*PI()/180))/D19))*180/PI()</f>
        <v>21.284937192060269</v>
      </c>
      <c r="C35" s="6" t="s">
        <v>23</v>
      </c>
      <c r="D35">
        <f>-D19*COS(A35*PI()/180)</f>
        <v>186.02243497941197</v>
      </c>
      <c r="E35" s="5">
        <f>-D35</f>
        <v>-186.02243497941197</v>
      </c>
    </row>
    <row r="36" spans="1:16" x14ac:dyDescent="0.25">
      <c r="C36" s="6"/>
      <c r="D36" s="6"/>
    </row>
    <row r="37" spans="1:16" x14ac:dyDescent="0.25">
      <c r="C37" s="6"/>
      <c r="D37" s="6">
        <f>D29</f>
        <v>-201.92013160443997</v>
      </c>
    </row>
    <row r="38" spans="1:16" x14ac:dyDescent="0.25">
      <c r="C38" s="6"/>
      <c r="D38" s="6">
        <f>D15</f>
        <v>-106.66666666666667</v>
      </c>
    </row>
    <row r="39" spans="1:16" x14ac:dyDescent="0.25">
      <c r="C39" s="6"/>
      <c r="D39" s="6">
        <f>D19</f>
        <v>-199.6405791900653</v>
      </c>
    </row>
    <row r="40" spans="1:16" x14ac:dyDescent="0.25">
      <c r="C40" s="6"/>
      <c r="D40" s="6"/>
      <c r="E40" t="s">
        <v>78</v>
      </c>
    </row>
    <row r="41" spans="1:16" x14ac:dyDescent="0.25">
      <c r="C41" s="6"/>
      <c r="D41" s="6">
        <f>D27</f>
        <v>21.033157883233827</v>
      </c>
      <c r="E41" t="s">
        <v>75</v>
      </c>
    </row>
    <row r="42" spans="1:16" x14ac:dyDescent="0.25">
      <c r="C42" s="6"/>
      <c r="D42" s="6">
        <f>D21</f>
        <v>-42.797836707817751</v>
      </c>
      <c r="E42" t="s">
        <v>76</v>
      </c>
      <c r="P42" t="s">
        <v>106</v>
      </c>
    </row>
    <row r="43" spans="1:16" ht="25.5" x14ac:dyDescent="0.25">
      <c r="C43" s="6"/>
      <c r="D43" s="6">
        <f>A35</f>
        <v>21.284937192060269</v>
      </c>
      <c r="E43" t="s">
        <v>77</v>
      </c>
      <c r="G43" t="s">
        <v>79</v>
      </c>
      <c r="I43" t="s">
        <v>80</v>
      </c>
      <c r="P43" s="7" t="s">
        <v>152</v>
      </c>
    </row>
    <row r="44" spans="1:16" x14ac:dyDescent="0.25">
      <c r="I44" t="s">
        <v>81</v>
      </c>
      <c r="P44" t="s">
        <v>107</v>
      </c>
    </row>
    <row r="45" spans="1:16" ht="25.5" x14ac:dyDescent="0.25">
      <c r="I45" t="s">
        <v>82</v>
      </c>
      <c r="P45" s="7" t="s">
        <v>108</v>
      </c>
    </row>
    <row r="46" spans="1:16" ht="23.25" x14ac:dyDescent="0.25">
      <c r="I46" t="s">
        <v>115</v>
      </c>
      <c r="P46" s="8"/>
    </row>
    <row r="47" spans="1:16" x14ac:dyDescent="0.25">
      <c r="I47" t="s">
        <v>83</v>
      </c>
    </row>
    <row r="48" spans="1:16" x14ac:dyDescent="0.25">
      <c r="I48" t="s">
        <v>84</v>
      </c>
    </row>
    <row r="49" spans="2:9" x14ac:dyDescent="0.25">
      <c r="B49" t="s">
        <v>116</v>
      </c>
      <c r="I49" t="s">
        <v>85</v>
      </c>
    </row>
    <row r="50" spans="2:9" x14ac:dyDescent="0.25">
      <c r="B50" t="s">
        <v>117</v>
      </c>
      <c r="I50" t="s">
        <v>86</v>
      </c>
    </row>
    <row r="51" spans="2:9" x14ac:dyDescent="0.25">
      <c r="B51" t="s">
        <v>118</v>
      </c>
      <c r="I51" t="s">
        <v>87</v>
      </c>
    </row>
    <row r="52" spans="2:9" x14ac:dyDescent="0.25">
      <c r="B52" t="s">
        <v>116</v>
      </c>
      <c r="I52" t="s">
        <v>88</v>
      </c>
    </row>
    <row r="53" spans="2:9" x14ac:dyDescent="0.25">
      <c r="B53" t="s">
        <v>117</v>
      </c>
      <c r="I53" t="s">
        <v>89</v>
      </c>
    </row>
    <row r="54" spans="2:9" x14ac:dyDescent="0.25">
      <c r="B54" t="s">
        <v>118</v>
      </c>
      <c r="I54" t="s">
        <v>90</v>
      </c>
    </row>
    <row r="55" spans="2:9" x14ac:dyDescent="0.25">
      <c r="B55" t="s">
        <v>119</v>
      </c>
      <c r="I55" t="s">
        <v>91</v>
      </c>
    </row>
    <row r="56" spans="2:9" x14ac:dyDescent="0.25">
      <c r="B56" t="s">
        <v>120</v>
      </c>
      <c r="I56" t="s">
        <v>92</v>
      </c>
    </row>
    <row r="57" spans="2:9" x14ac:dyDescent="0.25">
      <c r="B57" t="s">
        <v>119</v>
      </c>
      <c r="I57" t="s">
        <v>93</v>
      </c>
    </row>
    <row r="58" spans="2:9" x14ac:dyDescent="0.25">
      <c r="B58" t="s">
        <v>121</v>
      </c>
      <c r="I58" t="s">
        <v>94</v>
      </c>
    </row>
    <row r="59" spans="2:9" x14ac:dyDescent="0.25">
      <c r="B59" t="s">
        <v>122</v>
      </c>
      <c r="I59" t="s">
        <v>95</v>
      </c>
    </row>
    <row r="60" spans="2:9" x14ac:dyDescent="0.25">
      <c r="B60" t="s">
        <v>123</v>
      </c>
      <c r="I60" t="s">
        <v>96</v>
      </c>
    </row>
    <row r="61" spans="2:9" x14ac:dyDescent="0.25">
      <c r="B61" t="s">
        <v>118</v>
      </c>
      <c r="I61" t="s">
        <v>97</v>
      </c>
    </row>
    <row r="62" spans="2:9" x14ac:dyDescent="0.25">
      <c r="B62" t="s">
        <v>121</v>
      </c>
      <c r="I62" t="s">
        <v>98</v>
      </c>
    </row>
    <row r="63" spans="2:9" x14ac:dyDescent="0.25">
      <c r="B63" t="s">
        <v>124</v>
      </c>
      <c r="I63" t="s">
        <v>99</v>
      </c>
    </row>
    <row r="64" spans="2:9" x14ac:dyDescent="0.25">
      <c r="B64" t="s">
        <v>125</v>
      </c>
      <c r="I64" t="s">
        <v>100</v>
      </c>
    </row>
    <row r="65" spans="2:9" x14ac:dyDescent="0.25">
      <c r="B65" t="s">
        <v>118</v>
      </c>
      <c r="I65" t="s">
        <v>101</v>
      </c>
    </row>
    <row r="66" spans="2:9" x14ac:dyDescent="0.25">
      <c r="B66" t="s">
        <v>126</v>
      </c>
      <c r="I66" t="s">
        <v>102</v>
      </c>
    </row>
    <row r="67" spans="2:9" x14ac:dyDescent="0.25">
      <c r="B67" t="s">
        <v>127</v>
      </c>
      <c r="I67" t="s">
        <v>103</v>
      </c>
    </row>
    <row r="68" spans="2:9" x14ac:dyDescent="0.25">
      <c r="B68" t="s">
        <v>128</v>
      </c>
      <c r="I68" t="s">
        <v>104</v>
      </c>
    </row>
    <row r="69" spans="2:9" x14ac:dyDescent="0.25">
      <c r="B69" t="s">
        <v>129</v>
      </c>
      <c r="H69" t="s">
        <v>113</v>
      </c>
      <c r="I69" t="s">
        <v>105</v>
      </c>
    </row>
    <row r="70" spans="2:9" x14ac:dyDescent="0.25">
      <c r="B70" t="s">
        <v>130</v>
      </c>
      <c r="I70" t="s">
        <v>109</v>
      </c>
    </row>
    <row r="71" spans="2:9" x14ac:dyDescent="0.25">
      <c r="I71" t="s">
        <v>110</v>
      </c>
    </row>
    <row r="72" spans="2:9" x14ac:dyDescent="0.25">
      <c r="H72" t="s">
        <v>114</v>
      </c>
      <c r="I72" t="s">
        <v>111</v>
      </c>
    </row>
    <row r="73" spans="2:9" x14ac:dyDescent="0.25">
      <c r="I73" t="s">
        <v>112</v>
      </c>
    </row>
  </sheetData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9C95-996F-400C-B5B2-C291DFA65EAB}">
  <dimension ref="A1:E12"/>
  <sheetViews>
    <sheetView workbookViewId="0">
      <selection activeCell="A9" sqref="A9"/>
    </sheetView>
  </sheetViews>
  <sheetFormatPr defaultRowHeight="16.5" x14ac:dyDescent="0.25"/>
  <cols>
    <col min="1" max="1" width="15.75" customWidth="1"/>
    <col min="2" max="2" width="14.125" customWidth="1"/>
    <col min="5" max="5" width="18.125" customWidth="1"/>
  </cols>
  <sheetData>
    <row r="1" spans="1:5" x14ac:dyDescent="0.25">
      <c r="A1">
        <f>'Offner imaging design procedure'!E32</f>
        <v>188.46677426931032</v>
      </c>
      <c r="B1" s="6" t="s">
        <v>133</v>
      </c>
      <c r="C1" t="s">
        <v>140</v>
      </c>
    </row>
    <row r="2" spans="1:5" x14ac:dyDescent="0.25">
      <c r="A2">
        <f>'Offner imaging design procedure'!E33</f>
        <v>-110.19951908489367</v>
      </c>
      <c r="B2" s="6" t="s">
        <v>20</v>
      </c>
      <c r="C2" t="s">
        <v>141</v>
      </c>
      <c r="E2" t="s">
        <v>153</v>
      </c>
    </row>
    <row r="3" spans="1:5" x14ac:dyDescent="0.25">
      <c r="A3">
        <f>'Offner imaging design procedure'!E34</f>
        <v>107.75517979499531</v>
      </c>
      <c r="B3" s="6" t="s">
        <v>21</v>
      </c>
      <c r="C3" t="s">
        <v>142</v>
      </c>
      <c r="E3" t="s">
        <v>153</v>
      </c>
    </row>
    <row r="4" spans="1:5" x14ac:dyDescent="0.25">
      <c r="A4">
        <f>'Offner imaging design procedure'!E35</f>
        <v>-186.02243497941197</v>
      </c>
      <c r="B4" s="6" t="s">
        <v>22</v>
      </c>
      <c r="C4" t="s">
        <v>143</v>
      </c>
      <c r="E4" t="s">
        <v>153</v>
      </c>
    </row>
    <row r="5" spans="1:5" x14ac:dyDescent="0.25">
      <c r="A5">
        <f>'Offner imaging design procedure'!D37</f>
        <v>-201.92013160443997</v>
      </c>
      <c r="B5" s="6" t="s">
        <v>134</v>
      </c>
      <c r="C5" t="s">
        <v>144</v>
      </c>
      <c r="E5" t="s">
        <v>153</v>
      </c>
    </row>
    <row r="6" spans="1:5" x14ac:dyDescent="0.25">
      <c r="A6">
        <f>'Offner imaging design procedure'!D38</f>
        <v>-106.66666666666667</v>
      </c>
      <c r="B6" s="6" t="s">
        <v>135</v>
      </c>
      <c r="C6" t="s">
        <v>145</v>
      </c>
      <c r="E6" t="s">
        <v>153</v>
      </c>
    </row>
    <row r="7" spans="1:5" x14ac:dyDescent="0.25">
      <c r="A7">
        <f>'Offner imaging design procedure'!D39</f>
        <v>-199.6405791900653</v>
      </c>
      <c r="B7" s="6" t="s">
        <v>136</v>
      </c>
      <c r="C7" t="s">
        <v>146</v>
      </c>
      <c r="E7" t="e">
        <v>#N/A</v>
      </c>
    </row>
    <row r="8" spans="1:5" x14ac:dyDescent="0.25">
      <c r="A8">
        <f>'Offner imaging design procedure'!D41</f>
        <v>21.033157883233827</v>
      </c>
      <c r="B8" s="6" t="s">
        <v>137</v>
      </c>
      <c r="C8" t="s">
        <v>147</v>
      </c>
      <c r="E8" t="e">
        <v>#N/A</v>
      </c>
    </row>
    <row r="9" spans="1:5" x14ac:dyDescent="0.25">
      <c r="A9">
        <f>'Offner imaging design procedure'!D42</f>
        <v>-42.797836707817751</v>
      </c>
      <c r="B9" s="6" t="s">
        <v>138</v>
      </c>
      <c r="C9" t="s">
        <v>148</v>
      </c>
      <c r="E9" t="e">
        <v>#N/A</v>
      </c>
    </row>
    <row r="10" spans="1:5" x14ac:dyDescent="0.25">
      <c r="A10">
        <f>'Offner imaging design procedure'!D43</f>
        <v>21.284937192060269</v>
      </c>
      <c r="B10" s="6" t="s">
        <v>139</v>
      </c>
      <c r="C10" t="s">
        <v>149</v>
      </c>
      <c r="E10" t="e">
        <v>#N/A</v>
      </c>
    </row>
    <row r="11" spans="1:5" x14ac:dyDescent="0.25">
      <c r="A11">
        <f>'Offner imaging design procedure'!D3</f>
        <v>15</v>
      </c>
      <c r="B11" t="s">
        <v>131</v>
      </c>
      <c r="C11" t="s">
        <v>150</v>
      </c>
    </row>
    <row r="12" spans="1:5" x14ac:dyDescent="0.25">
      <c r="A12">
        <f>'Offner imaging design procedure'!A15</f>
        <v>150</v>
      </c>
      <c r="B12" t="s">
        <v>132</v>
      </c>
      <c r="C12" t="s">
        <v>151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D8" sqref="D8"/>
    </sheetView>
  </sheetViews>
  <sheetFormatPr defaultRowHeight="16.5" x14ac:dyDescent="0.25"/>
  <sheetData>
    <row r="1" spans="1:7" x14ac:dyDescent="0.25">
      <c r="B1" t="s">
        <v>27</v>
      </c>
      <c r="C1" t="s">
        <v>26</v>
      </c>
      <c r="D1" t="s">
        <v>25</v>
      </c>
      <c r="E1" t="s">
        <v>24</v>
      </c>
    </row>
    <row r="2" spans="1:7" x14ac:dyDescent="0.25">
      <c r="B2">
        <v>135.58500000000001</v>
      </c>
      <c r="C2">
        <v>17.636099999999999</v>
      </c>
      <c r="D2">
        <f>C2*PI()/180</f>
        <v>0.30780801221097193</v>
      </c>
      <c r="E2">
        <f>B2*COS(D2)</f>
        <v>129.21250042617763</v>
      </c>
    </row>
    <row r="4" spans="1:7" x14ac:dyDescent="0.25">
      <c r="B4" t="s">
        <v>28</v>
      </c>
      <c r="C4" t="s">
        <v>29</v>
      </c>
      <c r="D4" t="s">
        <v>30</v>
      </c>
      <c r="E4" t="s">
        <v>41</v>
      </c>
    </row>
    <row r="5" spans="1:7" x14ac:dyDescent="0.25">
      <c r="B5">
        <v>7</v>
      </c>
      <c r="C5">
        <f>1/B5</f>
        <v>0.14285714285714285</v>
      </c>
      <c r="D5">
        <f>C5*180/PI()</f>
        <v>8.1851113590117599</v>
      </c>
      <c r="E5">
        <f>SIN(C5/2)</f>
        <v>7.1367848340078588E-2</v>
      </c>
    </row>
    <row r="7" spans="1:7" x14ac:dyDescent="0.25">
      <c r="B7" t="s">
        <v>42</v>
      </c>
      <c r="C7" t="s">
        <v>32</v>
      </c>
      <c r="D7" t="s">
        <v>31</v>
      </c>
    </row>
    <row r="8" spans="1:7" x14ac:dyDescent="0.25">
      <c r="B8">
        <v>10</v>
      </c>
      <c r="C8">
        <f xml:space="preserve"> SIN((B8/2)*PI()/180)</f>
        <v>8.7155742747658166E-2</v>
      </c>
      <c r="D8">
        <f>1/(B8*PI()/180)</f>
        <v>5.7295779513082321</v>
      </c>
    </row>
    <row r="10" spans="1:7" x14ac:dyDescent="0.25">
      <c r="A10" t="s">
        <v>69</v>
      </c>
      <c r="B10" t="s">
        <v>70</v>
      </c>
      <c r="C10" t="s">
        <v>67</v>
      </c>
      <c r="D10" s="3" t="s">
        <v>68</v>
      </c>
      <c r="E10" t="s">
        <v>66</v>
      </c>
      <c r="F10" s="4" t="s">
        <v>71</v>
      </c>
      <c r="G10" s="4"/>
    </row>
    <row r="11" spans="1:7" x14ac:dyDescent="0.25">
      <c r="A11">
        <v>25</v>
      </c>
      <c r="B11">
        <f t="shared" ref="B11:B18" si="0">1/A11</f>
        <v>0.04</v>
      </c>
      <c r="C11">
        <v>11.478</v>
      </c>
      <c r="D11">
        <f xml:space="preserve"> (ASIN((SIN(C11*PI()/180))-(E11*F11/B11)))*180/PI()</f>
        <v>12.943590982300135</v>
      </c>
      <c r="E11">
        <v>-1</v>
      </c>
      <c r="F11">
        <f>10^-3</f>
        <v>1E-3</v>
      </c>
    </row>
    <row r="12" spans="1:7" x14ac:dyDescent="0.25">
      <c r="A12">
        <v>50</v>
      </c>
      <c r="B12">
        <f t="shared" si="0"/>
        <v>0.02</v>
      </c>
      <c r="C12">
        <v>11.478</v>
      </c>
      <c r="D12">
        <f xml:space="preserve"> (ASIN((SIN(C12*PI()/180))-(E12*F12/B12)))*180/PI()</f>
        <v>14.417851593346708</v>
      </c>
      <c r="E12">
        <v>-1</v>
      </c>
      <c r="F12">
        <f>10^-3</f>
        <v>1E-3</v>
      </c>
    </row>
    <row r="13" spans="1:7" x14ac:dyDescent="0.25">
      <c r="A13">
        <v>100</v>
      </c>
      <c r="B13">
        <f t="shared" si="0"/>
        <v>0.01</v>
      </c>
      <c r="C13">
        <v>11.478</v>
      </c>
      <c r="D13">
        <f xml:space="preserve"> (ASIN((SIN(C13*PI()/180))-(E13*F13/B13)))*180/PI()</f>
        <v>17.397049697951974</v>
      </c>
      <c r="E13">
        <v>-1</v>
      </c>
      <c r="F13">
        <f>10^-3</f>
        <v>1E-3</v>
      </c>
    </row>
    <row r="14" spans="1:7" x14ac:dyDescent="0.25">
      <c r="A14">
        <v>150</v>
      </c>
      <c r="B14">
        <f t="shared" si="0"/>
        <v>6.6666666666666671E-3</v>
      </c>
      <c r="C14">
        <v>11.478</v>
      </c>
      <c r="D14">
        <f xml:space="preserve"> (ASIN((SIN(C14*PI()/180))-(E14*F14/B14)))*180/PI()</f>
        <v>20.425652673682151</v>
      </c>
      <c r="E14">
        <v>-1</v>
      </c>
      <c r="F14">
        <f>10^-3</f>
        <v>1E-3</v>
      </c>
    </row>
    <row r="15" spans="1:7" x14ac:dyDescent="0.25">
      <c r="A15">
        <v>200</v>
      </c>
      <c r="B15">
        <f t="shared" si="0"/>
        <v>5.0000000000000001E-3</v>
      </c>
      <c r="C15">
        <v>11.478</v>
      </c>
      <c r="D15">
        <f xml:space="preserve"> (ASIN((SIN(C15*PI()/180))-(E15*F15/B15)))*180/PI()</f>
        <v>23.515157126249939</v>
      </c>
      <c r="E15">
        <v>-1</v>
      </c>
      <c r="F15">
        <f>10^-3</f>
        <v>1E-3</v>
      </c>
    </row>
    <row r="16" spans="1:7" x14ac:dyDescent="0.25">
      <c r="A16">
        <v>250</v>
      </c>
      <c r="B16">
        <f t="shared" si="0"/>
        <v>4.0000000000000001E-3</v>
      </c>
      <c r="C16">
        <v>11.478</v>
      </c>
      <c r="D16">
        <f t="shared" ref="D16:D18" si="1" xml:space="preserve"> (ASIN((SIN(C16*PI()/180))-(E16*F16/B16)))*180/PI()</f>
        <v>26.679008010597371</v>
      </c>
      <c r="E16">
        <v>-1</v>
      </c>
      <c r="F16">
        <f t="shared" ref="F16:F18" si="2">10^-3</f>
        <v>1E-3</v>
      </c>
    </row>
    <row r="17" spans="1:6" x14ac:dyDescent="0.25">
      <c r="A17">
        <v>300</v>
      </c>
      <c r="B17">
        <f t="shared" si="0"/>
        <v>3.3333333333333335E-3</v>
      </c>
      <c r="C17">
        <v>11.478</v>
      </c>
      <c r="D17">
        <f t="shared" si="1"/>
        <v>29.933310867691961</v>
      </c>
      <c r="E17">
        <v>-1</v>
      </c>
      <c r="F17">
        <f t="shared" si="2"/>
        <v>1E-3</v>
      </c>
    </row>
    <row r="18" spans="1:6" x14ac:dyDescent="0.25">
      <c r="A18">
        <v>350</v>
      </c>
      <c r="B18">
        <f t="shared" si="0"/>
        <v>2.8571428571428571E-3</v>
      </c>
      <c r="C18">
        <v>11.478</v>
      </c>
      <c r="D18">
        <f t="shared" si="1"/>
        <v>33.297863803302171</v>
      </c>
      <c r="E18">
        <v>-1</v>
      </c>
      <c r="F18">
        <f t="shared" si="2"/>
        <v>1E-3</v>
      </c>
    </row>
  </sheetData>
  <sortState ref="A11:A14">
    <sortCondition ref="A1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"/>
  <sheetViews>
    <sheetView workbookViewId="0">
      <selection activeCell="D6" sqref="D6"/>
    </sheetView>
  </sheetViews>
  <sheetFormatPr defaultRowHeight="16.5" x14ac:dyDescent="0.25"/>
  <sheetData>
    <row r="1" spans="2:5" x14ac:dyDescent="0.25">
      <c r="C1" t="s">
        <v>40</v>
      </c>
      <c r="D1" t="s">
        <v>39</v>
      </c>
      <c r="E1" t="s">
        <v>38</v>
      </c>
    </row>
    <row r="2" spans="2:5" x14ac:dyDescent="0.25">
      <c r="B2" t="s">
        <v>37</v>
      </c>
      <c r="C2">
        <v>700</v>
      </c>
      <c r="D2">
        <v>7.6E-3</v>
      </c>
      <c r="E2">
        <v>8.1035199999999996</v>
      </c>
    </row>
    <row r="3" spans="2:5" x14ac:dyDescent="0.25">
      <c r="B3" t="s">
        <v>36</v>
      </c>
      <c r="C3">
        <v>550</v>
      </c>
      <c r="D3">
        <v>1.3143999999999999E-2</v>
      </c>
      <c r="E3">
        <v>7.9870000000000001</v>
      </c>
    </row>
    <row r="4" spans="2:5" x14ac:dyDescent="0.25">
      <c r="B4" t="s">
        <v>35</v>
      </c>
      <c r="C4">
        <v>400</v>
      </c>
      <c r="D4">
        <v>1.7780000000000001E-2</v>
      </c>
    </row>
    <row r="7" spans="2:5" x14ac:dyDescent="0.25">
      <c r="C7" t="s">
        <v>34</v>
      </c>
      <c r="E7" t="s">
        <v>33</v>
      </c>
    </row>
    <row r="8" spans="2:5" x14ac:dyDescent="0.25">
      <c r="C8">
        <f>(C2-C3)*D2/E2</f>
        <v>0.14067960589965842</v>
      </c>
      <c r="E8">
        <f>(C3-C4)*D3/E3</f>
        <v>0.24685113309127332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B3" sqref="B3"/>
    </sheetView>
  </sheetViews>
  <sheetFormatPr defaultRowHeight="16.5" x14ac:dyDescent="0.25"/>
  <sheetData>
    <row r="1" spans="1:5" x14ac:dyDescent="0.25">
      <c r="A1" s="2" t="s">
        <v>43</v>
      </c>
    </row>
    <row r="2" spans="1:5" x14ac:dyDescent="0.25">
      <c r="A2" t="s">
        <v>44</v>
      </c>
      <c r="B2">
        <v>135.58499999999998</v>
      </c>
      <c r="E2" t="s">
        <v>46</v>
      </c>
    </row>
    <row r="3" spans="1:5" x14ac:dyDescent="0.25">
      <c r="A3" t="s">
        <v>45</v>
      </c>
      <c r="B3">
        <f>B2*COS(B5)</f>
        <v>129.2125004261776</v>
      </c>
      <c r="E3">
        <f>(((COS(B5)^2)/B3)-((COS(B5)/B2)))</f>
        <v>-8.6736173798840355E-19</v>
      </c>
    </row>
    <row r="4" spans="1:5" x14ac:dyDescent="0.25">
      <c r="A4" t="s">
        <v>49</v>
      </c>
      <c r="B4">
        <v>17.636099999999999</v>
      </c>
    </row>
    <row r="5" spans="1:5" x14ac:dyDescent="0.25">
      <c r="A5" t="s">
        <v>50</v>
      </c>
      <c r="B5">
        <f>B4*PI()/180</f>
        <v>0.30780801221097193</v>
      </c>
    </row>
    <row r="6" spans="1:5" x14ac:dyDescent="0.25">
      <c r="A6" s="2" t="s">
        <v>47</v>
      </c>
    </row>
    <row r="7" spans="1:5" x14ac:dyDescent="0.25">
      <c r="A7" t="s">
        <v>44</v>
      </c>
      <c r="B7">
        <v>116.40365669505701</v>
      </c>
      <c r="E7" t="s">
        <v>48</v>
      </c>
    </row>
    <row r="8" spans="1:5" x14ac:dyDescent="0.25">
      <c r="A8" t="s">
        <v>45</v>
      </c>
      <c r="B8">
        <v>135.96100000000001</v>
      </c>
      <c r="E8">
        <f>(1/B8)-((COS(B10)/B7))</f>
        <v>-8.3197739353047667E-4</v>
      </c>
    </row>
    <row r="9" spans="1:5" x14ac:dyDescent="0.25">
      <c r="A9" t="s">
        <v>49</v>
      </c>
      <c r="B9">
        <v>17.636099999999999</v>
      </c>
    </row>
    <row r="10" spans="1:5" x14ac:dyDescent="0.25">
      <c r="A10" t="s">
        <v>50</v>
      </c>
      <c r="B10">
        <f>B9*PI()/180</f>
        <v>0.30780801221097193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E16" sqref="E16"/>
    </sheetView>
  </sheetViews>
  <sheetFormatPr defaultRowHeight="16.5" x14ac:dyDescent="0.25"/>
  <sheetData>
    <row r="1" spans="1:5" x14ac:dyDescent="0.25">
      <c r="A1" s="1" t="s">
        <v>51</v>
      </c>
    </row>
    <row r="2" spans="1:5" x14ac:dyDescent="0.25">
      <c r="A2" t="s">
        <v>52</v>
      </c>
    </row>
    <row r="3" spans="1:5" x14ac:dyDescent="0.25">
      <c r="A3" t="s">
        <v>53</v>
      </c>
      <c r="B3">
        <v>135.58500000000001</v>
      </c>
    </row>
    <row r="4" spans="1:5" x14ac:dyDescent="0.25">
      <c r="A4" t="s">
        <v>56</v>
      </c>
      <c r="B4">
        <f>B3*COS(B6)</f>
        <v>129.21250042617763</v>
      </c>
    </row>
    <row r="5" spans="1:5" x14ac:dyDescent="0.25">
      <c r="A5" t="s">
        <v>49</v>
      </c>
      <c r="B5">
        <v>17.636099999999999</v>
      </c>
    </row>
    <row r="6" spans="1:5" x14ac:dyDescent="0.25">
      <c r="A6" t="s">
        <v>50</v>
      </c>
      <c r="B6">
        <f>B5*PI()/180</f>
        <v>0.30780801221097193</v>
      </c>
    </row>
    <row r="7" spans="1:5" x14ac:dyDescent="0.25">
      <c r="A7" t="s">
        <v>54</v>
      </c>
      <c r="D7" t="s">
        <v>57</v>
      </c>
      <c r="E7">
        <f>B3*COS(B6)-B8</f>
        <v>0</v>
      </c>
    </row>
    <row r="8" spans="1:5" x14ac:dyDescent="0.25">
      <c r="A8" t="s">
        <v>55</v>
      </c>
      <c r="B8">
        <v>129.21250042617763</v>
      </c>
    </row>
    <row r="10" spans="1:5" x14ac:dyDescent="0.25">
      <c r="A10" s="1" t="s">
        <v>58</v>
      </c>
    </row>
    <row r="11" spans="1:5" x14ac:dyDescent="0.25">
      <c r="A11" t="s">
        <v>59</v>
      </c>
    </row>
    <row r="12" spans="1:5" x14ac:dyDescent="0.25">
      <c r="A12" t="s">
        <v>60</v>
      </c>
      <c r="B12">
        <f>B3</f>
        <v>135.58500000000001</v>
      </c>
    </row>
    <row r="13" spans="1:5" x14ac:dyDescent="0.25">
      <c r="A13" t="s">
        <v>61</v>
      </c>
      <c r="B13">
        <f>B4</f>
        <v>129.21250042617763</v>
      </c>
    </row>
    <row r="14" spans="1:5" x14ac:dyDescent="0.25">
      <c r="A14" t="s">
        <v>50</v>
      </c>
      <c r="B14">
        <f>B6</f>
        <v>0.30780801221097193</v>
      </c>
    </row>
    <row r="15" spans="1:5" x14ac:dyDescent="0.25">
      <c r="A15" t="s">
        <v>62</v>
      </c>
      <c r="B15">
        <f>B8</f>
        <v>129.21250042617763</v>
      </c>
    </row>
    <row r="16" spans="1:5" x14ac:dyDescent="0.25">
      <c r="A16" t="s">
        <v>63</v>
      </c>
      <c r="D16" t="s">
        <v>65</v>
      </c>
      <c r="E16">
        <f>B17*B15+B17*B13-2*B13*B15*COS(B14)</f>
        <v>0</v>
      </c>
    </row>
    <row r="17" spans="1:2" x14ac:dyDescent="0.25">
      <c r="A17" t="s">
        <v>64</v>
      </c>
      <c r="B17">
        <v>123.13950854729471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Offner imaging design procedure</vt:lpstr>
      <vt:lpstr>TO Matlab</vt:lpstr>
      <vt:lpstr>求些有的沒的</vt:lpstr>
      <vt:lpstr>解析度概算</vt:lpstr>
      <vt:lpstr>Rowland circle 像差</vt:lpstr>
      <vt:lpstr>工作表3</vt:lpstr>
      <vt:lpstr>解除Rowland circle限制的像差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h14577</dc:creator>
  <cp:lastModifiedBy>Eddyee</cp:lastModifiedBy>
  <dcterms:created xsi:type="dcterms:W3CDTF">2014-05-12T13:45:15Z</dcterms:created>
  <dcterms:modified xsi:type="dcterms:W3CDTF">2019-07-29T08:47:37Z</dcterms:modified>
</cp:coreProperties>
</file>