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Eigene Dateien\Projekte Lu177\177m\ASA\Nuklidgemisch\neue Proben 2021.01.25\"/>
    </mc:Choice>
  </mc:AlternateContent>
  <bookViews>
    <workbookView xWindow="0" yWindow="0" windowWidth="23040" windowHeight="8460" firstSheet="1" activeTab="3"/>
  </bookViews>
  <sheets>
    <sheet name="Aktivitäten" sheetId="1" r:id="rId1"/>
    <sheet name="Messdaten" sheetId="2" r:id="rId2"/>
    <sheet name="Ergebnisse_1Methode" sheetId="3" r:id="rId3"/>
    <sheet name="Ergebnisse_2Method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4" l="1"/>
  <c r="C22" i="4"/>
  <c r="N32" i="4" l="1"/>
  <c r="M32" i="4"/>
  <c r="N31" i="4"/>
  <c r="M31" i="4"/>
  <c r="N30" i="4"/>
  <c r="M30" i="4"/>
  <c r="N26" i="4"/>
  <c r="M26" i="4"/>
  <c r="N25" i="4"/>
  <c r="M25" i="4"/>
  <c r="N24" i="4"/>
  <c r="M24" i="4"/>
  <c r="N20" i="4"/>
  <c r="M20" i="4"/>
  <c r="N19" i="4"/>
  <c r="M19" i="4"/>
  <c r="N18" i="4"/>
  <c r="M18" i="4"/>
  <c r="C25" i="3" l="1"/>
  <c r="C22" i="3"/>
  <c r="C23" i="4" l="1"/>
  <c r="C24" i="4" s="1"/>
  <c r="M14" i="4"/>
  <c r="N14" i="4"/>
  <c r="N13" i="4"/>
  <c r="M13" i="4"/>
  <c r="N12" i="4"/>
  <c r="M12" i="4"/>
  <c r="C27" i="4"/>
  <c r="M5" i="4"/>
  <c r="C29" i="4" l="1"/>
  <c r="C20" i="3"/>
  <c r="C19" i="3"/>
  <c r="C16" i="3"/>
  <c r="C15" i="3"/>
  <c r="C25" i="2"/>
  <c r="C17" i="2"/>
  <c r="C9" i="2"/>
  <c r="C52" i="1"/>
  <c r="C43" i="1"/>
  <c r="C34" i="1"/>
  <c r="N13" i="3"/>
  <c r="N15" i="3"/>
  <c r="N16" i="3"/>
  <c r="N18" i="3"/>
  <c r="N19" i="3"/>
  <c r="N12" i="3"/>
  <c r="M13" i="3" l="1"/>
  <c r="M15" i="3"/>
  <c r="M16" i="3"/>
  <c r="M18" i="3"/>
  <c r="M19" i="3"/>
  <c r="M12" i="3"/>
  <c r="M5" i="3" l="1"/>
  <c r="C17" i="3" l="1"/>
  <c r="F25" i="3"/>
  <c r="C23" i="3" l="1"/>
  <c r="C26" i="2" l="1"/>
  <c r="C24" i="2"/>
  <c r="E25" i="2" s="1"/>
  <c r="C18" i="2"/>
  <c r="C16" i="2"/>
  <c r="E17" i="2" s="1"/>
  <c r="C10" i="2"/>
  <c r="C8" i="2"/>
  <c r="E9" i="2" s="1"/>
  <c r="C53" i="1" l="1"/>
  <c r="C51" i="1"/>
  <c r="C44" i="1"/>
  <c r="C42" i="1"/>
  <c r="C35" i="1"/>
  <c r="C33" i="1"/>
</calcChain>
</file>

<file path=xl/sharedStrings.xml><?xml version="1.0" encoding="utf-8"?>
<sst xmlns="http://schemas.openxmlformats.org/spreadsheetml/2006/main" count="300" uniqueCount="118">
  <si>
    <t>Lu177m Proben</t>
  </si>
  <si>
    <t>&gt; entnahne eines Probevolumens aus dem Lutathera Vial</t>
  </si>
  <si>
    <t>Datum:</t>
  </si>
  <si>
    <t>Volumen:</t>
  </si>
  <si>
    <t>μl</t>
  </si>
  <si>
    <t>Messdauer:</t>
  </si>
  <si>
    <t>s</t>
  </si>
  <si>
    <t>LVis Gammaspektroskopie</t>
  </si>
  <si>
    <t>Gesamtaktivität:</t>
  </si>
  <si>
    <t>Bq</t>
  </si>
  <si>
    <t>± 1143 Bq</t>
  </si>
  <si>
    <t>Lu177:</t>
  </si>
  <si>
    <t>Lu177m:</t>
  </si>
  <si>
    <t>(15,5%)</t>
  </si>
  <si>
    <t>± 697,5 Bq</t>
  </si>
  <si>
    <t>± 445,3 Bq</t>
  </si>
  <si>
    <t>(31,6%)</t>
  </si>
  <si>
    <t>(8,6%)</t>
  </si>
  <si>
    <t>I131 Proben</t>
  </si>
  <si>
    <t>&gt; auflösen einer "alten" I131 Kapsel</t>
  </si>
  <si>
    <t>ml</t>
  </si>
  <si>
    <t>± 15,69 Bq</t>
  </si>
  <si>
    <t>(2,8%)</t>
  </si>
  <si>
    <t>Marinelli Gefäß 1</t>
  </si>
  <si>
    <t>L</t>
  </si>
  <si>
    <t>Volumen I131:</t>
  </si>
  <si>
    <t>Volumen Lu177m:</t>
  </si>
  <si>
    <t>Volumen Wasser:</t>
  </si>
  <si>
    <t>(durch Verdünnung)</t>
  </si>
  <si>
    <t>I131:</t>
  </si>
  <si>
    <t>Marinelli Gefäß 2 (= 1HWZ I131 Marinelli 1)</t>
  </si>
  <si>
    <t>Marinelli Gefäß 3 (= 4HWZ I131 Marinelli 1)</t>
  </si>
  <si>
    <t>HWZ Lu177m:</t>
  </si>
  <si>
    <t>HWZ I131:</t>
  </si>
  <si>
    <t>h</t>
  </si>
  <si>
    <t>Anzeigewert:</t>
  </si>
  <si>
    <t>Marinelli Gefäß 2</t>
  </si>
  <si>
    <t>Bq/L</t>
  </si>
  <si>
    <t>± 1,1 %</t>
  </si>
  <si>
    <t>Marinelli Gefäß 3</t>
  </si>
  <si>
    <t>± 1,4 %</t>
  </si>
  <si>
    <t>± 0,8 %</t>
  </si>
  <si>
    <t>Verweildauer I131:</t>
  </si>
  <si>
    <t>Verweildauer Lu177m:</t>
  </si>
  <si>
    <t>Kalibrierfaktor I131 Fenster E:</t>
  </si>
  <si>
    <t>Bq/cps</t>
  </si>
  <si>
    <t>Messung 1 [dd.mm.jjjj hh:mm]:</t>
  </si>
  <si>
    <t>Messung 2 [dd.mm.jjjj hh:mm]:</t>
  </si>
  <si>
    <t>Differenz:</t>
  </si>
  <si>
    <t>1. Messung, Gesamtnettoimpulse, Fenster E:</t>
  </si>
  <si>
    <t>cts</t>
  </si>
  <si>
    <t>2. Messung, Gesamtnettoimpulse, Fenster E:</t>
  </si>
  <si>
    <t>I131 Nettoimpulse, Fenster E:</t>
  </si>
  <si>
    <t>I131 Impulsrate, Fenster E:</t>
  </si>
  <si>
    <t>cps</t>
  </si>
  <si>
    <t>I131 Aktivität, Fenster E:</t>
  </si>
  <si>
    <t>am</t>
  </si>
  <si>
    <t>Messung</t>
  </si>
  <si>
    <t>Marinelli 1</t>
  </si>
  <si>
    <t>Marinelli 2</t>
  </si>
  <si>
    <t>Marinelli 3</t>
  </si>
  <si>
    <t>Datum</t>
  </si>
  <si>
    <t>Impulse E</t>
  </si>
  <si>
    <t>Impulse A</t>
  </si>
  <si>
    <t>Datum (echt)</t>
  </si>
  <si>
    <t>Differenz (künstlich) [h]</t>
  </si>
  <si>
    <t>100 - 500</t>
  </si>
  <si>
    <t>500 - 5000</t>
  </si>
  <si>
    <t>5000 - 10000</t>
  </si>
  <si>
    <t>&gt; 10000</t>
  </si>
  <si>
    <t>M1 + M2</t>
  </si>
  <si>
    <t>M1 + M3</t>
  </si>
  <si>
    <t>M2 + M1</t>
  </si>
  <si>
    <t>M2 + M3</t>
  </si>
  <si>
    <t>M3 + M1</t>
  </si>
  <si>
    <t>M3 + M2</t>
  </si>
  <si>
    <t>Berechnung</t>
  </si>
  <si>
    <t>I131 (echt)</t>
  </si>
  <si>
    <t>I131 (gemessen)</t>
  </si>
  <si>
    <t>[Bq]</t>
  </si>
  <si>
    <t>[%]</t>
  </si>
  <si>
    <t>&lt; 100 cps</t>
  </si>
  <si>
    <t>Impulsrate in E</t>
  </si>
  <si>
    <t>Fehler (absolut)</t>
  </si>
  <si>
    <t>Fehler (relativ)</t>
  </si>
  <si>
    <t>HWZ Lu177:</t>
  </si>
  <si>
    <t>Kalibrierfaktor Lu177m Fenster A:</t>
  </si>
  <si>
    <t>Kalibrierfaktor Lu177m Fenster E:</t>
  </si>
  <si>
    <t>Gesamtimpulse, Fenster E:</t>
  </si>
  <si>
    <t>Impulsrate, Fenster E:</t>
  </si>
  <si>
    <t>M1</t>
  </si>
  <si>
    <t>M2</t>
  </si>
  <si>
    <t>M3</t>
  </si>
  <si>
    <t>(8,7% + 2,0% Fehler)</t>
  </si>
  <si>
    <t>(8,7% + 2,9% Fehler)</t>
  </si>
  <si>
    <t>(2x 8,7% + 2,0% + 2,9% + 2,8% = 25,1% Fehler)</t>
  </si>
  <si>
    <t>(1% Fehler)</t>
  </si>
  <si>
    <t>(2x 1% + 8,6% + 2,8% = 13,4% Fehler)</t>
  </si>
  <si>
    <t>Fehler nie zu klein, konservativ</t>
  </si>
  <si>
    <t>2 Messungen, Berechnungen über HWZ von I131 und Lu177m und Impulsen in Fenster E und I131 Kalibrierfaktor</t>
  </si>
  <si>
    <t>Fehler</t>
  </si>
  <si>
    <t>&lt; 6%</t>
  </si>
  <si>
    <t>&lt; 10%</t>
  </si>
  <si>
    <t>statistischer Fehler Nulleffekt bei 3600s</t>
  </si>
  <si>
    <t>1 Messung, Berechnungen mit zwei Energiefenstern und Kalibrierfaktoren für I131 und Lu177m*</t>
  </si>
  <si>
    <t>Impulse D</t>
  </si>
  <si>
    <t>Kalibrierfaktor Lu177m Fenster D:</t>
  </si>
  <si>
    <t>aus A</t>
  </si>
  <si>
    <t>aus B</t>
  </si>
  <si>
    <t>aus C</t>
  </si>
  <si>
    <t>aus D</t>
  </si>
  <si>
    <t>Impulse B</t>
  </si>
  <si>
    <t>Impulse C</t>
  </si>
  <si>
    <t>Kalibrierfaktor Lu177m Fenster B:</t>
  </si>
  <si>
    <t>Kalibrierfaktor Lu177m Fenster C:</t>
  </si>
  <si>
    <t>Gesamtimpulse, Fenster (A-D):</t>
  </si>
  <si>
    <t>Impulsrate, Fenster (A-D):</t>
  </si>
  <si>
    <t>Lu177m Aktivität, Fenster (A-D):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</si>
</sst>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22" fontId="0" fillId="0" borderId="0" xfId="0" applyNumberFormat="1"/>
    <xf numFmtId="0" fontId="2" fillId="0" borderId="0" xfId="0" applyFont="1"/>
    <xf numFmtId="10" fontId="0" fillId="0" borderId="0" xfId="0" quotePrefix="1" applyNumberFormat="1"/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2" fontId="3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/>
    <xf numFmtId="22" fontId="1" fillId="0" borderId="1" xfId="0" applyNumberFormat="1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3" xfId="0" applyBorder="1"/>
    <xf numFmtId="0" fontId="1" fillId="0" borderId="6" xfId="0" applyFont="1" applyBorder="1"/>
    <xf numFmtId="22" fontId="3" fillId="0" borderId="5" xfId="0" applyNumberFormat="1" applyFont="1" applyBorder="1"/>
    <xf numFmtId="0" fontId="0" fillId="0" borderId="5" xfId="0" applyBorder="1"/>
    <xf numFmtId="164" fontId="3" fillId="0" borderId="5" xfId="0" applyNumberFormat="1" applyFont="1" applyBorder="1"/>
    <xf numFmtId="22" fontId="0" fillId="0" borderId="5" xfId="0" applyNumberFormat="1" applyBorder="1"/>
    <xf numFmtId="0" fontId="0" fillId="0" borderId="0" xfId="0" applyBorder="1"/>
    <xf numFmtId="22" fontId="3" fillId="0" borderId="0" xfId="0" applyNumberFormat="1" applyFont="1" applyBorder="1"/>
    <xf numFmtId="164" fontId="3" fillId="0" borderId="0" xfId="0" applyNumberFormat="1" applyFont="1" applyBorder="1"/>
    <xf numFmtId="22" fontId="0" fillId="0" borderId="0" xfId="0" applyNumberFormat="1" applyBorder="1"/>
    <xf numFmtId="0" fontId="0" fillId="0" borderId="0" xfId="0" applyAlignment="1">
      <alignment horizontal="center"/>
    </xf>
    <xf numFmtId="0" fontId="0" fillId="0" borderId="3" xfId="0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2" fontId="5" fillId="0" borderId="5" xfId="0" applyNumberFormat="1" applyFont="1" applyBorder="1" applyAlignment="1">
      <alignment horizontal="center" vertical="center"/>
    </xf>
    <xf numFmtId="0" fontId="0" fillId="0" borderId="0" xfId="0" applyFill="1"/>
    <xf numFmtId="0" fontId="6" fillId="0" borderId="0" xfId="0" applyFont="1"/>
    <xf numFmtId="0" fontId="6" fillId="0" borderId="0" xfId="0" applyFont="1" applyFill="1"/>
    <xf numFmtId="164" fontId="0" fillId="0" borderId="5" xfId="0" applyNumberFormat="1" applyBorder="1"/>
    <xf numFmtId="0" fontId="1" fillId="0" borderId="0" xfId="0" applyFont="1" applyBorder="1"/>
    <xf numFmtId="22" fontId="1" fillId="0" borderId="5" xfId="0" applyNumberFormat="1" applyFont="1" applyBorder="1" applyAlignment="1">
      <alignment horizontal="center" vertical="center"/>
    </xf>
    <xf numFmtId="22" fontId="1" fillId="0" borderId="6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0" fillId="0" borderId="0" xfId="0" applyNumberFormat="1" applyBorder="1"/>
    <xf numFmtId="0" fontId="3" fillId="0" borderId="0" xfId="0" applyFont="1" applyFill="1"/>
    <xf numFmtId="0" fontId="0" fillId="0" borderId="0" xfId="0" applyFont="1" applyBorder="1"/>
    <xf numFmtId="22" fontId="0" fillId="0" borderId="0" xfId="0" applyNumberFormat="1" applyFont="1" applyBorder="1"/>
    <xf numFmtId="0" fontId="0" fillId="2" borderId="0" xfId="0" applyFill="1"/>
    <xf numFmtId="22" fontId="0" fillId="2" borderId="0" xfId="0" applyNumberFormat="1" applyFill="1"/>
    <xf numFmtId="0" fontId="0" fillId="0" borderId="0" xfId="0" applyFont="1" applyFill="1" applyBorder="1"/>
    <xf numFmtId="0" fontId="1" fillId="3" borderId="0" xfId="0" applyFont="1" applyFill="1"/>
    <xf numFmtId="0" fontId="0" fillId="3" borderId="0" xfId="0" applyFill="1"/>
    <xf numFmtId="0" fontId="1" fillId="0" borderId="7" xfId="0" applyFont="1" applyBorder="1"/>
    <xf numFmtId="0" fontId="0" fillId="0" borderId="8" xfId="0" applyBorder="1"/>
    <xf numFmtId="164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opLeftCell="A25" workbookViewId="0">
      <selection activeCell="H58" sqref="H58"/>
    </sheetView>
  </sheetViews>
  <sheetFormatPr baseColWidth="10" defaultColWidth="15" defaultRowHeight="15" x14ac:dyDescent="0.25"/>
  <cols>
    <col min="2" max="2" width="18.7109375" customWidth="1"/>
    <col min="4" max="4" width="9.7109375" customWidth="1"/>
  </cols>
  <sheetData>
    <row r="2" spans="2:7" x14ac:dyDescent="0.25">
      <c r="B2" s="4" t="s">
        <v>0</v>
      </c>
    </row>
    <row r="4" spans="2:7" x14ac:dyDescent="0.25">
      <c r="B4" t="s">
        <v>1</v>
      </c>
    </row>
    <row r="5" spans="2:7" x14ac:dyDescent="0.25">
      <c r="B5" t="s">
        <v>2</v>
      </c>
      <c r="C5" s="1">
        <v>44221.618055555555</v>
      </c>
    </row>
    <row r="6" spans="2:7" x14ac:dyDescent="0.25">
      <c r="B6" t="s">
        <v>3</v>
      </c>
      <c r="C6">
        <v>500</v>
      </c>
      <c r="D6" t="s">
        <v>4</v>
      </c>
    </row>
    <row r="8" spans="2:7" x14ac:dyDescent="0.25">
      <c r="B8" t="s">
        <v>7</v>
      </c>
    </row>
    <row r="9" spans="2:7" x14ac:dyDescent="0.25">
      <c r="B9" t="s">
        <v>2</v>
      </c>
      <c r="C9" s="1">
        <v>44221.625694444447</v>
      </c>
    </row>
    <row r="10" spans="2:7" x14ac:dyDescent="0.25">
      <c r="B10" t="s">
        <v>5</v>
      </c>
      <c r="C10">
        <v>900</v>
      </c>
      <c r="D10" t="s">
        <v>6</v>
      </c>
      <c r="G10" s="4" t="s">
        <v>100</v>
      </c>
    </row>
    <row r="11" spans="2:7" x14ac:dyDescent="0.25">
      <c r="B11" t="s">
        <v>8</v>
      </c>
      <c r="C11">
        <v>7355</v>
      </c>
      <c r="D11" t="s">
        <v>9</v>
      </c>
      <c r="E11" s="2" t="s">
        <v>10</v>
      </c>
      <c r="G11" s="3" t="s">
        <v>13</v>
      </c>
    </row>
    <row r="12" spans="2:7" x14ac:dyDescent="0.25">
      <c r="B12" t="s">
        <v>11</v>
      </c>
      <c r="C12">
        <v>2205</v>
      </c>
      <c r="D12" t="s">
        <v>9</v>
      </c>
      <c r="E12" s="2" t="s">
        <v>14</v>
      </c>
      <c r="G12" s="3" t="s">
        <v>16</v>
      </c>
    </row>
    <row r="13" spans="2:7" x14ac:dyDescent="0.25">
      <c r="B13" t="s">
        <v>12</v>
      </c>
      <c r="C13">
        <v>5150</v>
      </c>
      <c r="D13" t="s">
        <v>9</v>
      </c>
      <c r="E13" s="2" t="s">
        <v>15</v>
      </c>
      <c r="G13" s="3" t="s">
        <v>17</v>
      </c>
    </row>
    <row r="16" spans="2:7" x14ac:dyDescent="0.25">
      <c r="B16" s="4" t="s">
        <v>18</v>
      </c>
    </row>
    <row r="18" spans="2:7" x14ac:dyDescent="0.25">
      <c r="B18" t="s">
        <v>19</v>
      </c>
    </row>
    <row r="19" spans="2:7" x14ac:dyDescent="0.25">
      <c r="B19" t="s">
        <v>2</v>
      </c>
      <c r="C19" s="1">
        <v>44221.645833333336</v>
      </c>
    </row>
    <row r="20" spans="2:7" x14ac:dyDescent="0.25">
      <c r="B20" t="s">
        <v>3</v>
      </c>
      <c r="C20">
        <v>1000</v>
      </c>
      <c r="D20" t="s">
        <v>20</v>
      </c>
    </row>
    <row r="22" spans="2:7" x14ac:dyDescent="0.25">
      <c r="B22" t="s">
        <v>7</v>
      </c>
    </row>
    <row r="23" spans="2:7" x14ac:dyDescent="0.25">
      <c r="B23" t="s">
        <v>2</v>
      </c>
      <c r="C23" s="1">
        <v>44221.645833333336</v>
      </c>
    </row>
    <row r="24" spans="2:7" x14ac:dyDescent="0.25">
      <c r="B24" t="s">
        <v>5</v>
      </c>
      <c r="C24">
        <v>900</v>
      </c>
      <c r="D24" t="s">
        <v>6</v>
      </c>
    </row>
    <row r="25" spans="2:7" x14ac:dyDescent="0.25">
      <c r="B25" t="s">
        <v>8</v>
      </c>
      <c r="C25">
        <v>561.4</v>
      </c>
      <c r="D25" t="s">
        <v>9</v>
      </c>
      <c r="E25" s="2" t="s">
        <v>21</v>
      </c>
      <c r="G25" s="3" t="s">
        <v>22</v>
      </c>
    </row>
    <row r="28" spans="2:7" x14ac:dyDescent="0.25">
      <c r="B28" s="4" t="s">
        <v>23</v>
      </c>
    </row>
    <row r="29" spans="2:7" x14ac:dyDescent="0.25">
      <c r="B29" s="1" t="s">
        <v>2</v>
      </c>
      <c r="C29" s="1">
        <v>44221.666666666664</v>
      </c>
    </row>
    <row r="30" spans="2:7" x14ac:dyDescent="0.25">
      <c r="B30" t="s">
        <v>27</v>
      </c>
      <c r="C30">
        <v>1</v>
      </c>
      <c r="D30" t="s">
        <v>24</v>
      </c>
    </row>
    <row r="31" spans="2:7" x14ac:dyDescent="0.25">
      <c r="B31" t="s">
        <v>26</v>
      </c>
      <c r="C31">
        <v>9.6999999999999993</v>
      </c>
      <c r="D31" t="s">
        <v>4</v>
      </c>
      <c r="E31" t="s">
        <v>28</v>
      </c>
    </row>
    <row r="32" spans="2:7" x14ac:dyDescent="0.25">
      <c r="B32" t="s">
        <v>25</v>
      </c>
      <c r="C32">
        <v>178</v>
      </c>
      <c r="D32" t="s">
        <v>4</v>
      </c>
    </row>
    <row r="33" spans="2:8" x14ac:dyDescent="0.25">
      <c r="B33" t="s">
        <v>12</v>
      </c>
      <c r="C33" s="5">
        <f>$C$13/$C$6*C31</f>
        <v>99.91</v>
      </c>
      <c r="D33" t="s">
        <v>9</v>
      </c>
    </row>
    <row r="34" spans="2:8" x14ac:dyDescent="0.25">
      <c r="B34" t="s">
        <v>11</v>
      </c>
      <c r="C34" s="5">
        <f>$C$12/$C$6*C31</f>
        <v>42.777000000000001</v>
      </c>
      <c r="D34" t="s">
        <v>9</v>
      </c>
    </row>
    <row r="35" spans="2:8" x14ac:dyDescent="0.25">
      <c r="B35" t="s">
        <v>29</v>
      </c>
      <c r="C35" s="5">
        <f>$C$25/$C$20*C32</f>
        <v>99.929200000000009</v>
      </c>
      <c r="D35" t="s">
        <v>9</v>
      </c>
      <c r="G35" t="s">
        <v>101</v>
      </c>
      <c r="H35" t="s">
        <v>103</v>
      </c>
    </row>
    <row r="37" spans="2:8" x14ac:dyDescent="0.25">
      <c r="B37" s="4" t="s">
        <v>30</v>
      </c>
    </row>
    <row r="38" spans="2:8" x14ac:dyDescent="0.25">
      <c r="B38" s="1" t="s">
        <v>2</v>
      </c>
      <c r="C38" s="1">
        <v>44221.666666666664</v>
      </c>
    </row>
    <row r="39" spans="2:8" x14ac:dyDescent="0.25">
      <c r="B39" t="s">
        <v>27</v>
      </c>
      <c r="C39">
        <v>1</v>
      </c>
      <c r="D39" t="s">
        <v>24</v>
      </c>
    </row>
    <row r="40" spans="2:8" x14ac:dyDescent="0.25">
      <c r="B40" t="s">
        <v>26</v>
      </c>
      <c r="C40">
        <v>9.4</v>
      </c>
      <c r="D40" t="s">
        <v>4</v>
      </c>
      <c r="E40" t="s">
        <v>28</v>
      </c>
    </row>
    <row r="41" spans="2:8" x14ac:dyDescent="0.25">
      <c r="B41" t="s">
        <v>25</v>
      </c>
      <c r="C41">
        <v>89</v>
      </c>
      <c r="D41" t="s">
        <v>4</v>
      </c>
    </row>
    <row r="42" spans="2:8" x14ac:dyDescent="0.25">
      <c r="B42" t="s">
        <v>12</v>
      </c>
      <c r="C42" s="5">
        <f>$C$13/$C$6*C40</f>
        <v>96.820000000000007</v>
      </c>
      <c r="D42" t="s">
        <v>9</v>
      </c>
    </row>
    <row r="43" spans="2:8" x14ac:dyDescent="0.25">
      <c r="B43" t="s">
        <v>11</v>
      </c>
      <c r="C43" s="5">
        <f>$C$12/$C$6*C40</f>
        <v>41.454000000000001</v>
      </c>
      <c r="D43" t="s">
        <v>9</v>
      </c>
    </row>
    <row r="44" spans="2:8" x14ac:dyDescent="0.25">
      <c r="B44" t="s">
        <v>29</v>
      </c>
      <c r="C44" s="5">
        <f>$C$25/$C$20*C41</f>
        <v>49.964600000000004</v>
      </c>
      <c r="D44" t="s">
        <v>9</v>
      </c>
      <c r="G44" t="s">
        <v>101</v>
      </c>
      <c r="H44" t="s">
        <v>103</v>
      </c>
    </row>
    <row r="46" spans="2:8" x14ac:dyDescent="0.25">
      <c r="B46" s="4" t="s">
        <v>31</v>
      </c>
    </row>
    <row r="47" spans="2:8" x14ac:dyDescent="0.25">
      <c r="B47" s="1" t="s">
        <v>2</v>
      </c>
      <c r="C47" s="1">
        <v>44221.666666666664</v>
      </c>
    </row>
    <row r="48" spans="2:8" x14ac:dyDescent="0.25">
      <c r="B48" t="s">
        <v>27</v>
      </c>
      <c r="C48">
        <v>1</v>
      </c>
      <c r="D48" t="s">
        <v>24</v>
      </c>
    </row>
    <row r="49" spans="2:8" x14ac:dyDescent="0.25">
      <c r="B49" t="s">
        <v>26</v>
      </c>
      <c r="C49">
        <v>8.4</v>
      </c>
      <c r="D49" t="s">
        <v>4</v>
      </c>
      <c r="E49" t="s">
        <v>28</v>
      </c>
    </row>
    <row r="50" spans="2:8" x14ac:dyDescent="0.25">
      <c r="B50" t="s">
        <v>25</v>
      </c>
      <c r="C50">
        <v>8.9</v>
      </c>
      <c r="D50" t="s">
        <v>4</v>
      </c>
    </row>
    <row r="51" spans="2:8" x14ac:dyDescent="0.25">
      <c r="B51" t="s">
        <v>12</v>
      </c>
      <c r="C51" s="5">
        <f>$C$13/$C$6*C49</f>
        <v>86.52000000000001</v>
      </c>
      <c r="D51" t="s">
        <v>9</v>
      </c>
    </row>
    <row r="52" spans="2:8" x14ac:dyDescent="0.25">
      <c r="B52" t="s">
        <v>11</v>
      </c>
      <c r="C52" s="5">
        <f>$C$12/$C$6*C49</f>
        <v>37.044000000000004</v>
      </c>
      <c r="D52" t="s">
        <v>9</v>
      </c>
    </row>
    <row r="53" spans="2:8" x14ac:dyDescent="0.25">
      <c r="B53" t="s">
        <v>29</v>
      </c>
      <c r="C53" s="5">
        <f>$C$25/$C$20*C50</f>
        <v>4.9964599999999999</v>
      </c>
      <c r="D53" t="s">
        <v>9</v>
      </c>
      <c r="G53" t="s">
        <v>102</v>
      </c>
      <c r="H53" t="s">
        <v>103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workbookViewId="0">
      <selection activeCell="H32" sqref="H32"/>
    </sheetView>
  </sheetViews>
  <sheetFormatPr baseColWidth="10" defaultRowHeight="15" x14ac:dyDescent="0.25"/>
  <cols>
    <col min="2" max="2" width="13" customWidth="1"/>
    <col min="3" max="3" width="17.5703125" customWidth="1"/>
  </cols>
  <sheetData>
    <row r="2" spans="2:5" x14ac:dyDescent="0.25">
      <c r="B2" t="s">
        <v>32</v>
      </c>
      <c r="C2">
        <v>3849.6</v>
      </c>
      <c r="D2" t="s">
        <v>34</v>
      </c>
    </row>
    <row r="3" spans="2:5" x14ac:dyDescent="0.25">
      <c r="B3" t="s">
        <v>85</v>
      </c>
      <c r="C3">
        <v>161.62</v>
      </c>
      <c r="D3" t="s">
        <v>34</v>
      </c>
    </row>
    <row r="4" spans="2:5" x14ac:dyDescent="0.25">
      <c r="B4" t="s">
        <v>33</v>
      </c>
      <c r="C4">
        <v>192.96</v>
      </c>
      <c r="D4" t="s">
        <v>34</v>
      </c>
    </row>
    <row r="6" spans="2:5" x14ac:dyDescent="0.25">
      <c r="B6" s="4" t="s">
        <v>23</v>
      </c>
    </row>
    <row r="7" spans="2:5" x14ac:dyDescent="0.25">
      <c r="B7" s="1" t="s">
        <v>2</v>
      </c>
      <c r="C7" s="8">
        <v>44222.524305555555</v>
      </c>
    </row>
    <row r="8" spans="2:5" x14ac:dyDescent="0.25">
      <c r="B8" t="s">
        <v>12</v>
      </c>
      <c r="C8" s="5">
        <f>Aktivitäten!C33*EXP(-LN(2)*(Messdaten!C7-Aktivitäten!C29)*24/Messdaten!C2)</f>
        <v>99.540401682860747</v>
      </c>
      <c r="D8" t="s">
        <v>9</v>
      </c>
    </row>
    <row r="9" spans="2:5" x14ac:dyDescent="0.25">
      <c r="B9" t="s">
        <v>11</v>
      </c>
      <c r="C9" s="5">
        <f>Aktivitäten!C34*EXP(-LN(2)*(Messdaten!C7-Aktivitäten!C29)*24/Messdaten!C3)</f>
        <v>39.162665405596037</v>
      </c>
      <c r="D9" t="s">
        <v>9</v>
      </c>
      <c r="E9">
        <f>C9/(C8+C9)*100</f>
        <v>28.234895037050883</v>
      </c>
    </row>
    <row r="10" spans="2:5" x14ac:dyDescent="0.25">
      <c r="B10" t="s">
        <v>29</v>
      </c>
      <c r="C10" s="5">
        <f>Aktivitäten!C35*EXP(-LN(2)*(Messdaten!C7-Aktivitäten!C29)*24/Messdaten!C4)</f>
        <v>92.80707566502592</v>
      </c>
      <c r="D10" t="s">
        <v>9</v>
      </c>
    </row>
    <row r="11" spans="2:5" x14ac:dyDescent="0.25">
      <c r="B11" t="s">
        <v>5</v>
      </c>
      <c r="C11">
        <v>3600</v>
      </c>
      <c r="D11" t="s">
        <v>6</v>
      </c>
    </row>
    <row r="12" spans="2:5" x14ac:dyDescent="0.25">
      <c r="B12" t="s">
        <v>35</v>
      </c>
      <c r="C12" s="6">
        <v>281</v>
      </c>
      <c r="D12" s="6" t="s">
        <v>37</v>
      </c>
      <c r="E12" s="7" t="s">
        <v>41</v>
      </c>
    </row>
    <row r="14" spans="2:5" x14ac:dyDescent="0.25">
      <c r="B14" s="4" t="s">
        <v>36</v>
      </c>
    </row>
    <row r="15" spans="2:5" x14ac:dyDescent="0.25">
      <c r="B15" s="1" t="s">
        <v>2</v>
      </c>
      <c r="C15" s="8">
        <v>44222.569444444445</v>
      </c>
    </row>
    <row r="16" spans="2:5" x14ac:dyDescent="0.25">
      <c r="B16" t="s">
        <v>12</v>
      </c>
      <c r="C16" s="5">
        <f>Aktivitäten!C42*EXP(-LN(2)*(Messdaten!C15-Aktivitäten!C38)*24/Messdaten!C2)</f>
        <v>96.443018386497712</v>
      </c>
      <c r="D16" t="s">
        <v>9</v>
      </c>
    </row>
    <row r="17" spans="2:5" x14ac:dyDescent="0.25">
      <c r="B17" t="s">
        <v>11</v>
      </c>
      <c r="C17" s="5">
        <f>Aktivitäten!C43*EXP(-LN(2)*(Messdaten!C15-Aktivitäten!C38)*24/Messdaten!C3)</f>
        <v>37.775530122927172</v>
      </c>
      <c r="D17" t="s">
        <v>9</v>
      </c>
      <c r="E17">
        <f>C17/(C16+C17)*100</f>
        <v>28.14479112048701</v>
      </c>
    </row>
    <row r="18" spans="2:5" x14ac:dyDescent="0.25">
      <c r="B18" t="s">
        <v>29</v>
      </c>
      <c r="C18" s="5">
        <f>Aktivitäten!C44*EXP(-LN(2)*(Messdaten!C15-Aktivitäten!C38)*24/Messdaten!C4)</f>
        <v>46.223308029187628</v>
      </c>
      <c r="D18" t="s">
        <v>9</v>
      </c>
    </row>
    <row r="19" spans="2:5" x14ac:dyDescent="0.25">
      <c r="B19" t="s">
        <v>5</v>
      </c>
      <c r="C19">
        <v>3600</v>
      </c>
      <c r="D19" t="s">
        <v>6</v>
      </c>
    </row>
    <row r="20" spans="2:5" x14ac:dyDescent="0.25">
      <c r="B20" t="s">
        <v>35</v>
      </c>
      <c r="C20">
        <v>218</v>
      </c>
      <c r="D20" t="s">
        <v>37</v>
      </c>
      <c r="E20" s="2" t="s">
        <v>38</v>
      </c>
    </row>
    <row r="22" spans="2:5" x14ac:dyDescent="0.25">
      <c r="B22" s="4" t="s">
        <v>39</v>
      </c>
    </row>
    <row r="23" spans="2:5" x14ac:dyDescent="0.25">
      <c r="B23" s="1" t="s">
        <v>2</v>
      </c>
      <c r="C23" s="8">
        <v>44222.613194444442</v>
      </c>
    </row>
    <row r="24" spans="2:5" x14ac:dyDescent="0.25">
      <c r="B24" t="s">
        <v>12</v>
      </c>
      <c r="C24" s="5">
        <f>Aktivitäten!C51*EXP(-LN(2)*(Messdaten!C23-Aktivitäten!C47)*24/Messdaten!C2)</f>
        <v>86.166830591143764</v>
      </c>
      <c r="D24" t="s">
        <v>9</v>
      </c>
    </row>
    <row r="25" spans="2:5" x14ac:dyDescent="0.25">
      <c r="B25" t="s">
        <v>11</v>
      </c>
      <c r="C25" s="5">
        <f>Aktivitäten!C52*EXP(-LN(2)*(Messdaten!C23-Aktivitäten!C47)*24/Messdaten!C3)</f>
        <v>33.605185139579817</v>
      </c>
      <c r="D25" t="s">
        <v>9</v>
      </c>
      <c r="E25">
        <f>C25/(C24+C25)*100</f>
        <v>28.057626762442062</v>
      </c>
    </row>
    <row r="26" spans="2:5" x14ac:dyDescent="0.25">
      <c r="B26" t="s">
        <v>29</v>
      </c>
      <c r="C26" s="5">
        <f>Aktivitäten!C53*EXP(-LN(2)*(Messdaten!C23-Aktivitäten!C47)*24/Messdaten!C4)</f>
        <v>4.6049291814880036</v>
      </c>
      <c r="D26" t="s">
        <v>9</v>
      </c>
    </row>
    <row r="27" spans="2:5" x14ac:dyDescent="0.25">
      <c r="B27" t="s">
        <v>5</v>
      </c>
      <c r="C27">
        <v>3600</v>
      </c>
      <c r="D27" t="s">
        <v>6</v>
      </c>
    </row>
    <row r="28" spans="2:5" x14ac:dyDescent="0.25">
      <c r="B28" t="s">
        <v>35</v>
      </c>
      <c r="C28" s="6">
        <v>151</v>
      </c>
      <c r="D28" s="6" t="s">
        <v>37</v>
      </c>
      <c r="E28" s="7" t="s">
        <v>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workbookViewId="0">
      <selection activeCell="H31" sqref="H31"/>
    </sheetView>
  </sheetViews>
  <sheetFormatPr baseColWidth="10" defaultRowHeight="15" x14ac:dyDescent="0.25"/>
  <cols>
    <col min="2" max="2" width="30" customWidth="1"/>
    <col min="3" max="3" width="19.7109375" customWidth="1"/>
    <col min="6" max="6" width="15.28515625" customWidth="1"/>
    <col min="11" max="11" width="16.7109375" customWidth="1"/>
    <col min="12" max="12" width="17.28515625" customWidth="1"/>
    <col min="13" max="13" width="19.85546875" customWidth="1"/>
    <col min="14" max="14" width="16.140625" customWidth="1"/>
  </cols>
  <sheetData>
    <row r="2" spans="2:15" x14ac:dyDescent="0.25">
      <c r="B2" s="47" t="s">
        <v>99</v>
      </c>
      <c r="C2" s="48"/>
      <c r="D2" s="48"/>
      <c r="E2" s="48"/>
      <c r="F2" s="48"/>
      <c r="G2" s="48"/>
    </row>
    <row r="4" spans="2:15" x14ac:dyDescent="0.25">
      <c r="B4" t="s">
        <v>42</v>
      </c>
      <c r="C4">
        <v>278.39999999999998</v>
      </c>
      <c r="D4" t="s">
        <v>34</v>
      </c>
      <c r="J4" s="14" t="s">
        <v>57</v>
      </c>
      <c r="K4" s="16" t="s">
        <v>64</v>
      </c>
      <c r="L4" s="16" t="s">
        <v>65</v>
      </c>
      <c r="M4" s="16" t="s">
        <v>61</v>
      </c>
      <c r="N4" s="49" t="s">
        <v>62</v>
      </c>
      <c r="O4" s="36"/>
    </row>
    <row r="5" spans="2:15" x14ac:dyDescent="0.25">
      <c r="B5" t="s">
        <v>43</v>
      </c>
      <c r="C5">
        <v>5553.8</v>
      </c>
      <c r="D5" t="s">
        <v>34</v>
      </c>
      <c r="J5" s="15" t="s">
        <v>58</v>
      </c>
      <c r="K5" s="17">
        <v>44222.524305555555</v>
      </c>
      <c r="L5" s="19">
        <v>0</v>
      </c>
      <c r="M5" s="17">
        <f>K5+L5</f>
        <v>44222.524305555555</v>
      </c>
      <c r="N5" s="50">
        <v>53086</v>
      </c>
      <c r="O5" s="21"/>
    </row>
    <row r="6" spans="2:15" x14ac:dyDescent="0.25">
      <c r="E6" s="25" t="s">
        <v>82</v>
      </c>
      <c r="J6" s="15" t="s">
        <v>59</v>
      </c>
      <c r="K6" s="17">
        <v>44222.569444444445</v>
      </c>
      <c r="L6" s="19">
        <v>194.1</v>
      </c>
      <c r="M6" s="20">
        <v>44230.614583333336</v>
      </c>
      <c r="N6" s="50">
        <v>40981</v>
      </c>
      <c r="O6" s="21"/>
    </row>
    <row r="7" spans="2:15" x14ac:dyDescent="0.25">
      <c r="B7" t="s">
        <v>44</v>
      </c>
      <c r="C7">
        <v>18.7</v>
      </c>
      <c r="D7" s="32" t="s">
        <v>45</v>
      </c>
      <c r="E7" t="s">
        <v>81</v>
      </c>
      <c r="J7" s="15" t="s">
        <v>60</v>
      </c>
      <c r="K7" s="17">
        <v>44222.613194444442</v>
      </c>
      <c r="L7" s="19">
        <v>836.1</v>
      </c>
      <c r="M7" s="20">
        <v>44257.385416666664</v>
      </c>
      <c r="N7" s="50">
        <v>28534</v>
      </c>
      <c r="O7" s="21"/>
    </row>
    <row r="8" spans="2:15" x14ac:dyDescent="0.25">
      <c r="C8" s="33">
        <v>18.2</v>
      </c>
      <c r="D8" s="34" t="s">
        <v>45</v>
      </c>
      <c r="E8" s="33" t="s">
        <v>66</v>
      </c>
      <c r="J8" s="21"/>
      <c r="K8" s="22"/>
      <c r="L8" s="23"/>
      <c r="M8" s="24"/>
      <c r="N8" s="21"/>
    </row>
    <row r="9" spans="2:15" x14ac:dyDescent="0.25">
      <c r="C9" s="33">
        <v>17.7</v>
      </c>
      <c r="D9" s="34" t="s">
        <v>45</v>
      </c>
      <c r="E9" s="33" t="s">
        <v>67</v>
      </c>
      <c r="J9" s="21"/>
      <c r="K9" s="22"/>
      <c r="L9" s="23"/>
      <c r="M9" s="24"/>
      <c r="N9" s="21"/>
    </row>
    <row r="10" spans="2:15" x14ac:dyDescent="0.25">
      <c r="C10" s="33">
        <v>17</v>
      </c>
      <c r="D10" s="34" t="s">
        <v>45</v>
      </c>
      <c r="E10" s="33" t="s">
        <v>68</v>
      </c>
      <c r="J10" s="27" t="s">
        <v>76</v>
      </c>
      <c r="K10" s="29" t="s">
        <v>77</v>
      </c>
      <c r="L10" s="31" t="s">
        <v>78</v>
      </c>
      <c r="M10" s="37" t="s">
        <v>83</v>
      </c>
      <c r="N10" s="36" t="s">
        <v>84</v>
      </c>
    </row>
    <row r="11" spans="2:15" x14ac:dyDescent="0.25">
      <c r="C11" s="33">
        <v>16.5</v>
      </c>
      <c r="D11" s="34" t="s">
        <v>45</v>
      </c>
      <c r="E11" s="33" t="s">
        <v>69</v>
      </c>
      <c r="J11" s="28"/>
      <c r="K11" s="30" t="s">
        <v>79</v>
      </c>
      <c r="L11" s="30" t="s">
        <v>79</v>
      </c>
      <c r="M11" s="38" t="s">
        <v>79</v>
      </c>
      <c r="N11" s="39" t="s">
        <v>80</v>
      </c>
    </row>
    <row r="12" spans="2:15" x14ac:dyDescent="0.25">
      <c r="J12" s="26" t="s">
        <v>70</v>
      </c>
      <c r="K12" s="19">
        <v>92.8</v>
      </c>
      <c r="L12" s="19">
        <v>114.17</v>
      </c>
      <c r="M12" s="35">
        <f>L12-K12</f>
        <v>21.370000000000005</v>
      </c>
      <c r="N12" s="40">
        <f>(1-(L12/K12))*-100</f>
        <v>23.028017241379306</v>
      </c>
      <c r="O12" s="5"/>
    </row>
    <row r="13" spans="2:15" x14ac:dyDescent="0.25">
      <c r="B13" t="s">
        <v>5</v>
      </c>
      <c r="C13">
        <v>3600</v>
      </c>
      <c r="D13" t="s">
        <v>6</v>
      </c>
      <c r="J13" s="26" t="s">
        <v>71</v>
      </c>
      <c r="K13" s="19">
        <v>92.8</v>
      </c>
      <c r="L13" s="19">
        <v>109.76</v>
      </c>
      <c r="M13" s="35">
        <f t="shared" ref="M13:M19" si="0">L13-K13</f>
        <v>16.960000000000008</v>
      </c>
      <c r="N13" s="40">
        <f t="shared" ref="N13:N19" si="1">(1-(L13/K13))*-100</f>
        <v>18.27586206896552</v>
      </c>
      <c r="O13" s="5"/>
    </row>
    <row r="14" spans="2:15" x14ac:dyDescent="0.25">
      <c r="J14" s="15"/>
      <c r="K14" s="35"/>
      <c r="L14" s="35"/>
      <c r="M14" s="35"/>
      <c r="N14" s="40"/>
    </row>
    <row r="15" spans="2:15" x14ac:dyDescent="0.25">
      <c r="B15" t="s">
        <v>46</v>
      </c>
      <c r="C15" s="45">
        <f>M5</f>
        <v>44222.524305555555</v>
      </c>
      <c r="J15" s="15" t="s">
        <v>72</v>
      </c>
      <c r="K15" s="35">
        <v>46.2</v>
      </c>
      <c r="L15" s="35">
        <v>56.84</v>
      </c>
      <c r="M15" s="35">
        <f t="shared" si="0"/>
        <v>10.64</v>
      </c>
      <c r="N15" s="40">
        <f t="shared" si="1"/>
        <v>23.030303030303024</v>
      </c>
      <c r="O15" s="5"/>
    </row>
    <row r="16" spans="2:15" x14ac:dyDescent="0.25">
      <c r="B16" t="s">
        <v>47</v>
      </c>
      <c r="C16" s="45">
        <f>M6</f>
        <v>44230.614583333336</v>
      </c>
      <c r="J16" s="15" t="s">
        <v>73</v>
      </c>
      <c r="K16" s="35">
        <v>46.2</v>
      </c>
      <c r="L16" s="35">
        <v>52.32</v>
      </c>
      <c r="M16" s="35">
        <f t="shared" si="0"/>
        <v>6.1199999999999974</v>
      </c>
      <c r="N16" s="40">
        <f t="shared" si="1"/>
        <v>13.24675324675324</v>
      </c>
      <c r="O16" s="5"/>
    </row>
    <row r="17" spans="2:15" x14ac:dyDescent="0.25">
      <c r="B17" t="s">
        <v>48</v>
      </c>
      <c r="C17" s="5">
        <f>(C16-C15)*24</f>
        <v>194.16666666674428</v>
      </c>
      <c r="D17" t="s">
        <v>34</v>
      </c>
      <c r="J17" s="15"/>
      <c r="K17" s="35"/>
      <c r="L17" s="35"/>
      <c r="M17" s="35"/>
      <c r="N17" s="40"/>
    </row>
    <row r="18" spans="2:15" x14ac:dyDescent="0.25">
      <c r="J18" s="15" t="s">
        <v>74</v>
      </c>
      <c r="K18" s="35">
        <v>4.5999999999999996</v>
      </c>
      <c r="L18" s="35">
        <v>5.44</v>
      </c>
      <c r="M18" s="35">
        <f t="shared" si="0"/>
        <v>0.84000000000000075</v>
      </c>
      <c r="N18" s="40">
        <f t="shared" si="1"/>
        <v>18.260869565217419</v>
      </c>
      <c r="O18" s="5"/>
    </row>
    <row r="19" spans="2:15" x14ac:dyDescent="0.25">
      <c r="B19" t="s">
        <v>49</v>
      </c>
      <c r="C19" s="44">
        <f>N5</f>
        <v>53086</v>
      </c>
      <c r="D19" t="s">
        <v>50</v>
      </c>
      <c r="E19" t="s">
        <v>96</v>
      </c>
      <c r="J19" s="15" t="s">
        <v>75</v>
      </c>
      <c r="K19" s="35">
        <v>4.5999999999999996</v>
      </c>
      <c r="L19" s="35">
        <v>5.2</v>
      </c>
      <c r="M19" s="35">
        <f t="shared" si="0"/>
        <v>0.60000000000000053</v>
      </c>
      <c r="N19" s="40">
        <f t="shared" si="1"/>
        <v>13.043478260869579</v>
      </c>
      <c r="O19" s="5"/>
    </row>
    <row r="20" spans="2:15" x14ac:dyDescent="0.25">
      <c r="B20" t="s">
        <v>51</v>
      </c>
      <c r="C20" s="44">
        <f>N6</f>
        <v>40981</v>
      </c>
      <c r="D20" t="s">
        <v>50</v>
      </c>
      <c r="E20" t="s">
        <v>96</v>
      </c>
    </row>
    <row r="21" spans="2:15" x14ac:dyDescent="0.25">
      <c r="N21" t="s">
        <v>98</v>
      </c>
    </row>
    <row r="22" spans="2:15" x14ac:dyDescent="0.25">
      <c r="B22" t="s">
        <v>52</v>
      </c>
      <c r="C22" s="9">
        <f>(C20-C19*EXP(-C17/C5))/((EXP(-C17/C4))-(EXP(-C17/C5)))</f>
        <v>21978.374990902506</v>
      </c>
      <c r="D22" t="s">
        <v>50</v>
      </c>
    </row>
    <row r="23" spans="2:15" x14ac:dyDescent="0.25">
      <c r="B23" t="s">
        <v>53</v>
      </c>
      <c r="C23" s="10">
        <f>C22/C13</f>
        <v>6.1051041641395853</v>
      </c>
      <c r="D23" t="s">
        <v>54</v>
      </c>
    </row>
    <row r="25" spans="2:15" ht="15.75" thickBot="1" x14ac:dyDescent="0.3">
      <c r="B25" s="11" t="s">
        <v>55</v>
      </c>
      <c r="C25" s="51">
        <f>C23*C7</f>
        <v>114.16544786941024</v>
      </c>
      <c r="D25" s="11" t="s">
        <v>9</v>
      </c>
      <c r="E25" s="11" t="s">
        <v>56</v>
      </c>
      <c r="F25" s="12">
        <f>C15</f>
        <v>44222.524305555555</v>
      </c>
      <c r="G25" s="46" t="s">
        <v>97</v>
      </c>
    </row>
    <row r="26" spans="2:15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2"/>
  <sheetViews>
    <sheetView tabSelected="1" workbookViewId="0">
      <selection activeCell="Q20" sqref="Q20"/>
    </sheetView>
  </sheetViews>
  <sheetFormatPr baseColWidth="10" defaultRowHeight="15" x14ac:dyDescent="0.25"/>
  <cols>
    <col min="2" max="2" width="31" customWidth="1"/>
    <col min="3" max="3" width="17.42578125" customWidth="1"/>
    <col min="11" max="11" width="15.28515625" customWidth="1"/>
    <col min="12" max="12" width="14.85546875" customWidth="1"/>
    <col min="13" max="13" width="16.140625" customWidth="1"/>
  </cols>
  <sheetData>
    <row r="2" spans="2:18" x14ac:dyDescent="0.25">
      <c r="B2" s="47" t="s">
        <v>104</v>
      </c>
      <c r="C2" s="48"/>
      <c r="D2" s="48"/>
      <c r="E2" s="48"/>
      <c r="F2" s="48"/>
    </row>
    <row r="4" spans="2:18" x14ac:dyDescent="0.25">
      <c r="B4" t="s">
        <v>42</v>
      </c>
      <c r="C4">
        <v>278.39999999999998</v>
      </c>
      <c r="D4" t="s">
        <v>34</v>
      </c>
      <c r="J4" s="14" t="s">
        <v>57</v>
      </c>
      <c r="K4" s="16" t="s">
        <v>64</v>
      </c>
      <c r="L4" s="16" t="s">
        <v>65</v>
      </c>
      <c r="M4" s="16" t="s">
        <v>61</v>
      </c>
      <c r="N4" s="16" t="s">
        <v>62</v>
      </c>
      <c r="O4" s="16" t="s">
        <v>63</v>
      </c>
      <c r="P4" s="16" t="s">
        <v>111</v>
      </c>
      <c r="Q4" s="16" t="s">
        <v>112</v>
      </c>
      <c r="R4" s="13" t="s">
        <v>105</v>
      </c>
    </row>
    <row r="5" spans="2:18" x14ac:dyDescent="0.25">
      <c r="B5" t="s">
        <v>43</v>
      </c>
      <c r="C5">
        <v>5553.8</v>
      </c>
      <c r="D5" t="s">
        <v>34</v>
      </c>
      <c r="J5" s="15" t="s">
        <v>58</v>
      </c>
      <c r="K5" s="17">
        <v>44222.524305555555</v>
      </c>
      <c r="L5" s="19">
        <v>0</v>
      </c>
      <c r="M5" s="17">
        <f>K5+L5</f>
        <v>44222.524305555555</v>
      </c>
      <c r="N5" s="18">
        <v>53086</v>
      </c>
      <c r="O5" s="18">
        <v>32450</v>
      </c>
      <c r="P5" s="18">
        <v>35173</v>
      </c>
      <c r="Q5" s="18">
        <v>32207</v>
      </c>
      <c r="R5">
        <v>95750</v>
      </c>
    </row>
    <row r="6" spans="2:18" x14ac:dyDescent="0.25">
      <c r="E6" s="25" t="s">
        <v>82</v>
      </c>
      <c r="J6" s="15" t="s">
        <v>59</v>
      </c>
      <c r="K6" s="17">
        <v>44222.569444444445</v>
      </c>
      <c r="L6" s="19">
        <v>194.1</v>
      </c>
      <c r="M6" s="20">
        <v>44230.614583333336</v>
      </c>
      <c r="N6" s="18">
        <v>40981</v>
      </c>
      <c r="O6" s="18">
        <v>30452</v>
      </c>
      <c r="P6" s="18">
        <v>31836</v>
      </c>
      <c r="Q6" s="18">
        <v>29306</v>
      </c>
      <c r="R6">
        <v>86071</v>
      </c>
    </row>
    <row r="7" spans="2:18" x14ac:dyDescent="0.25">
      <c r="B7" t="s">
        <v>44</v>
      </c>
      <c r="C7">
        <v>18.7</v>
      </c>
      <c r="D7" s="32" t="s">
        <v>45</v>
      </c>
      <c r="E7" t="s">
        <v>81</v>
      </c>
      <c r="J7" s="15" t="s">
        <v>60</v>
      </c>
      <c r="K7" s="17">
        <v>44222.613194444442</v>
      </c>
      <c r="L7" s="19">
        <v>836.1</v>
      </c>
      <c r="M7" s="20">
        <v>44257.385416666664</v>
      </c>
      <c r="N7" s="18">
        <v>28534</v>
      </c>
      <c r="O7" s="18">
        <v>28060</v>
      </c>
      <c r="P7" s="18">
        <v>28937</v>
      </c>
      <c r="Q7" s="18">
        <v>26529</v>
      </c>
      <c r="R7">
        <v>75710</v>
      </c>
    </row>
    <row r="8" spans="2:18" x14ac:dyDescent="0.25">
      <c r="C8" s="33">
        <v>18.2</v>
      </c>
      <c r="D8" s="34" t="s">
        <v>45</v>
      </c>
      <c r="E8" s="33" t="s">
        <v>66</v>
      </c>
    </row>
    <row r="9" spans="2:18" x14ac:dyDescent="0.25">
      <c r="C9" s="33">
        <v>17.7</v>
      </c>
      <c r="D9" s="34" t="s">
        <v>45</v>
      </c>
      <c r="E9" s="33" t="s">
        <v>67</v>
      </c>
    </row>
    <row r="10" spans="2:18" x14ac:dyDescent="0.25">
      <c r="C10" s="33">
        <v>17</v>
      </c>
      <c r="D10" s="34" t="s">
        <v>45</v>
      </c>
      <c r="E10" s="33" t="s">
        <v>68</v>
      </c>
      <c r="J10" s="27" t="s">
        <v>76</v>
      </c>
      <c r="K10" s="29" t="s">
        <v>77</v>
      </c>
      <c r="L10" s="31" t="s">
        <v>78</v>
      </c>
      <c r="M10" s="37" t="s">
        <v>83</v>
      </c>
      <c r="N10" s="36" t="s">
        <v>84</v>
      </c>
    </row>
    <row r="11" spans="2:18" x14ac:dyDescent="0.25">
      <c r="C11" s="33">
        <v>16.5</v>
      </c>
      <c r="D11" s="34" t="s">
        <v>45</v>
      </c>
      <c r="E11" s="33" t="s">
        <v>69</v>
      </c>
      <c r="J11" s="28" t="s">
        <v>107</v>
      </c>
      <c r="K11" s="30" t="s">
        <v>79</v>
      </c>
      <c r="L11" s="30" t="s">
        <v>79</v>
      </c>
      <c r="M11" s="38" t="s">
        <v>79</v>
      </c>
      <c r="N11" s="39" t="s">
        <v>80</v>
      </c>
    </row>
    <row r="12" spans="2:18" x14ac:dyDescent="0.25">
      <c r="C12" s="33"/>
      <c r="D12" s="34"/>
      <c r="E12" s="33"/>
      <c r="J12" s="26" t="s">
        <v>90</v>
      </c>
      <c r="K12" s="19">
        <v>92.8</v>
      </c>
      <c r="L12" s="19">
        <v>112.56</v>
      </c>
      <c r="M12" s="35">
        <f>L12-K12</f>
        <v>19.760000000000005</v>
      </c>
      <c r="N12" s="40">
        <f>(1-(L12/K12))*-100</f>
        <v>21.293103448275865</v>
      </c>
    </row>
    <row r="13" spans="2:18" x14ac:dyDescent="0.25">
      <c r="B13" t="s">
        <v>86</v>
      </c>
      <c r="C13" s="6">
        <v>12.685</v>
      </c>
      <c r="D13" s="41" t="s">
        <v>45</v>
      </c>
      <c r="E13" s="6" t="s">
        <v>93</v>
      </c>
      <c r="J13" s="26" t="s">
        <v>91</v>
      </c>
      <c r="K13" s="19">
        <v>46.2</v>
      </c>
      <c r="L13" s="19">
        <v>59.73</v>
      </c>
      <c r="M13" s="35">
        <f t="shared" ref="M13" si="0">L13-K13</f>
        <v>13.529999999999994</v>
      </c>
      <c r="N13" s="40">
        <f t="shared" ref="N13" si="1">(1-(L13/K13))*-100</f>
        <v>29.28571428571427</v>
      </c>
    </row>
    <row r="14" spans="2:18" x14ac:dyDescent="0.25">
      <c r="B14" t="s">
        <v>113</v>
      </c>
      <c r="C14" s="6">
        <v>12.692</v>
      </c>
      <c r="D14" s="41" t="s">
        <v>45</v>
      </c>
      <c r="E14" s="6"/>
      <c r="J14" s="15" t="s">
        <v>92</v>
      </c>
      <c r="K14" s="19">
        <v>4.5999999999999996</v>
      </c>
      <c r="L14" s="19">
        <v>7.1</v>
      </c>
      <c r="M14" s="35">
        <f t="shared" ref="M14" si="2">L14-K14</f>
        <v>2.5</v>
      </c>
      <c r="N14" s="40">
        <f t="shared" ref="N14" si="3">(1-(L14/K14))*-100</f>
        <v>54.347826086956516</v>
      </c>
    </row>
    <row r="15" spans="2:18" x14ac:dyDescent="0.25">
      <c r="B15" t="s">
        <v>114</v>
      </c>
      <c r="C15" s="6">
        <v>13.867000000000001</v>
      </c>
      <c r="D15" s="41" t="s">
        <v>45</v>
      </c>
      <c r="E15" s="6"/>
      <c r="J15" s="21"/>
      <c r="K15" s="23"/>
      <c r="L15" s="23"/>
      <c r="M15" s="40"/>
      <c r="N15" s="40"/>
    </row>
    <row r="16" spans="2:18" x14ac:dyDescent="0.25">
      <c r="B16" t="s">
        <v>106</v>
      </c>
      <c r="C16" s="6">
        <v>4.8079999999999998</v>
      </c>
      <c r="D16" s="41" t="s">
        <v>45</v>
      </c>
      <c r="E16" s="6"/>
      <c r="J16" s="27" t="s">
        <v>76</v>
      </c>
      <c r="K16" s="29" t="s">
        <v>77</v>
      </c>
      <c r="L16" s="31" t="s">
        <v>78</v>
      </c>
      <c r="M16" s="37" t="s">
        <v>83</v>
      </c>
      <c r="N16" s="36" t="s">
        <v>84</v>
      </c>
    </row>
    <row r="17" spans="2:14" x14ac:dyDescent="0.25">
      <c r="B17" t="s">
        <v>87</v>
      </c>
      <c r="C17" s="6">
        <v>13.102</v>
      </c>
      <c r="D17" s="41" t="s">
        <v>45</v>
      </c>
      <c r="E17" s="6" t="s">
        <v>94</v>
      </c>
      <c r="J17" s="28" t="s">
        <v>108</v>
      </c>
      <c r="K17" s="30" t="s">
        <v>79</v>
      </c>
      <c r="L17" s="30" t="s">
        <v>79</v>
      </c>
      <c r="M17" s="38" t="s">
        <v>79</v>
      </c>
      <c r="N17" s="39" t="s">
        <v>80</v>
      </c>
    </row>
    <row r="18" spans="2:14" x14ac:dyDescent="0.25">
      <c r="E18" s="6"/>
      <c r="J18" s="26" t="s">
        <v>90</v>
      </c>
      <c r="K18" s="19">
        <v>92.8</v>
      </c>
      <c r="L18" s="19">
        <v>98.8</v>
      </c>
      <c r="M18" s="35">
        <f>L18-K18</f>
        <v>6</v>
      </c>
      <c r="N18" s="40">
        <f>(1-(L18/K18))*-100</f>
        <v>6.4655172413793149</v>
      </c>
    </row>
    <row r="19" spans="2:14" x14ac:dyDescent="0.25">
      <c r="J19" s="26" t="s">
        <v>91</v>
      </c>
      <c r="K19" s="19">
        <v>46.2</v>
      </c>
      <c r="L19" s="19">
        <v>52.7</v>
      </c>
      <c r="M19" s="35">
        <f t="shared" ref="M19:M20" si="4">L19-K19</f>
        <v>6.5</v>
      </c>
      <c r="N19" s="40">
        <f t="shared" ref="N19:N20" si="5">(1-(L19/K19))*-100</f>
        <v>14.069264069264076</v>
      </c>
    </row>
    <row r="20" spans="2:14" x14ac:dyDescent="0.25">
      <c r="B20" t="s">
        <v>5</v>
      </c>
      <c r="C20">
        <v>3600</v>
      </c>
      <c r="D20" t="s">
        <v>6</v>
      </c>
      <c r="J20" s="15" t="s">
        <v>92</v>
      </c>
      <c r="K20" s="19">
        <v>4.5999999999999996</v>
      </c>
      <c r="L20" s="19">
        <v>2.6</v>
      </c>
      <c r="M20" s="35">
        <f t="shared" si="4"/>
        <v>-1.9999999999999996</v>
      </c>
      <c r="N20" s="40">
        <f t="shared" si="5"/>
        <v>-43.478260869565212</v>
      </c>
    </row>
    <row r="22" spans="2:14" x14ac:dyDescent="0.25">
      <c r="B22" t="s">
        <v>115</v>
      </c>
      <c r="C22" s="44">
        <f>R7</f>
        <v>75710</v>
      </c>
      <c r="D22" t="s">
        <v>50</v>
      </c>
      <c r="J22" s="27" t="s">
        <v>76</v>
      </c>
      <c r="K22" s="29" t="s">
        <v>77</v>
      </c>
      <c r="L22" s="31" t="s">
        <v>78</v>
      </c>
      <c r="M22" s="37" t="s">
        <v>83</v>
      </c>
      <c r="N22" s="36" t="s">
        <v>84</v>
      </c>
    </row>
    <row r="23" spans="2:14" x14ac:dyDescent="0.25">
      <c r="B23" t="s">
        <v>116</v>
      </c>
      <c r="C23" s="10">
        <f>C22/C20</f>
        <v>21.030555555555555</v>
      </c>
      <c r="D23" t="s">
        <v>54</v>
      </c>
      <c r="J23" s="28" t="s">
        <v>109</v>
      </c>
      <c r="K23" s="30" t="s">
        <v>79</v>
      </c>
      <c r="L23" s="30" t="s">
        <v>79</v>
      </c>
      <c r="M23" s="38" t="s">
        <v>79</v>
      </c>
      <c r="N23" s="39" t="s">
        <v>80</v>
      </c>
    </row>
    <row r="24" spans="2:14" x14ac:dyDescent="0.25">
      <c r="B24" t="s">
        <v>117</v>
      </c>
      <c r="C24" s="10">
        <f>C16*C23</f>
        <v>101.1149111111111</v>
      </c>
      <c r="D24" t="s">
        <v>9</v>
      </c>
      <c r="J24" s="26" t="s">
        <v>90</v>
      </c>
      <c r="K24" s="19">
        <v>92.8</v>
      </c>
      <c r="L24" s="19">
        <v>98.7</v>
      </c>
      <c r="M24" s="35">
        <f>L24-K24</f>
        <v>5.9000000000000057</v>
      </c>
      <c r="N24" s="40">
        <f>(1-(L24/K24))*-100</f>
        <v>6.3577586206896575</v>
      </c>
    </row>
    <row r="25" spans="2:14" x14ac:dyDescent="0.25">
      <c r="J25" s="26" t="s">
        <v>91</v>
      </c>
      <c r="K25" s="19">
        <v>46.2</v>
      </c>
      <c r="L25" s="19">
        <v>51.8</v>
      </c>
      <c r="M25" s="35">
        <f t="shared" ref="M25:M26" si="6">L25-K25</f>
        <v>5.5999999999999943</v>
      </c>
      <c r="N25" s="40">
        <f t="shared" ref="N25:N26" si="7">(1-(L25/K25))*-100</f>
        <v>12.12121212121211</v>
      </c>
    </row>
    <row r="26" spans="2:14" x14ac:dyDescent="0.25">
      <c r="B26" t="s">
        <v>88</v>
      </c>
      <c r="C26" s="44">
        <f>N7</f>
        <v>28534</v>
      </c>
      <c r="D26" t="s">
        <v>50</v>
      </c>
      <c r="F26" s="43"/>
      <c r="J26" s="15" t="s">
        <v>92</v>
      </c>
      <c r="K26" s="19">
        <v>4.5999999999999996</v>
      </c>
      <c r="L26" s="19">
        <v>2.4</v>
      </c>
      <c r="M26" s="35">
        <f t="shared" si="6"/>
        <v>-2.1999999999999997</v>
      </c>
      <c r="N26" s="40">
        <f t="shared" si="7"/>
        <v>-47.826086956521742</v>
      </c>
    </row>
    <row r="27" spans="2:14" x14ac:dyDescent="0.25">
      <c r="B27" t="s">
        <v>89</v>
      </c>
      <c r="C27" s="10">
        <f>C26/C20</f>
        <v>7.9261111111111111</v>
      </c>
      <c r="D27" t="s">
        <v>54</v>
      </c>
    </row>
    <row r="28" spans="2:14" x14ac:dyDescent="0.25">
      <c r="J28" s="27" t="s">
        <v>76</v>
      </c>
      <c r="K28" s="29" t="s">
        <v>77</v>
      </c>
      <c r="L28" s="31" t="s">
        <v>78</v>
      </c>
      <c r="M28" s="37" t="s">
        <v>83</v>
      </c>
      <c r="N28" s="36" t="s">
        <v>84</v>
      </c>
    </row>
    <row r="29" spans="2:14" ht="15.75" thickBot="1" x14ac:dyDescent="0.3">
      <c r="B29" s="11" t="s">
        <v>55</v>
      </c>
      <c r="C29" s="51">
        <f>(C27-(C24/C17))*C7</f>
        <v>3.9007050577520115</v>
      </c>
      <c r="D29" s="11" t="s">
        <v>9</v>
      </c>
      <c r="E29" s="42" t="s">
        <v>95</v>
      </c>
      <c r="J29" s="28" t="s">
        <v>110</v>
      </c>
      <c r="K29" s="30" t="s">
        <v>79</v>
      </c>
      <c r="L29" s="30" t="s">
        <v>79</v>
      </c>
      <c r="M29" s="38" t="s">
        <v>79</v>
      </c>
      <c r="N29" s="39" t="s">
        <v>80</v>
      </c>
    </row>
    <row r="30" spans="2:14" ht="15.75" thickTop="1" x14ac:dyDescent="0.25">
      <c r="J30" s="26" t="s">
        <v>90</v>
      </c>
      <c r="K30" s="19">
        <v>92.8</v>
      </c>
      <c r="L30" s="19">
        <v>93.2</v>
      </c>
      <c r="M30" s="35">
        <f>L30-K30</f>
        <v>0.40000000000000568</v>
      </c>
      <c r="N30" s="40">
        <f>(1-(L30/K30))*-100</f>
        <v>0.43103448275862988</v>
      </c>
    </row>
    <row r="31" spans="2:14" x14ac:dyDescent="0.25">
      <c r="J31" s="26" t="s">
        <v>91</v>
      </c>
      <c r="K31" s="19">
        <v>46.2</v>
      </c>
      <c r="L31" s="19">
        <v>48.8</v>
      </c>
      <c r="M31" s="35">
        <f t="shared" ref="M31:M32" si="8">L31-K31</f>
        <v>2.5999999999999943</v>
      </c>
      <c r="N31" s="40">
        <f t="shared" ref="N31:N32" si="9">(1-(L31/K31))*-100</f>
        <v>5.6277056277056259</v>
      </c>
    </row>
    <row r="32" spans="2:14" x14ac:dyDescent="0.25">
      <c r="J32" s="15" t="s">
        <v>92</v>
      </c>
      <c r="K32" s="19">
        <v>4.5999999999999996</v>
      </c>
      <c r="L32" s="19">
        <v>3.9</v>
      </c>
      <c r="M32" s="35">
        <f t="shared" si="8"/>
        <v>-0.69999999999999973</v>
      </c>
      <c r="N32" s="40">
        <f t="shared" si="9"/>
        <v>-15.217391304347816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Aktivitäten</vt:lpstr>
      <vt:lpstr>Messdaten</vt:lpstr>
      <vt:lpstr>Ergebnisse_1Methode</vt:lpstr>
      <vt:lpstr>Ergebnisse_2Methode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Kupitz, Dennis</dc:creator>
  <cp:lastModifiedBy>Kupitz, Dennis</cp:lastModifiedBy>
  <dcterms:created xsi:type="dcterms:W3CDTF">2021-01-26T12:24:17Z</dcterms:created>
  <dcterms:modified xsi:type="dcterms:W3CDTF">2021-01-27T14:21:17Z</dcterms:modified>
</cp:coreProperties>
</file>