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kupitz\Desktop\Neuer Ordner\"/>
    </mc:Choice>
  </mc:AlternateContent>
  <bookViews>
    <workbookView xWindow="0" yWindow="0" windowWidth="30720" windowHeight="13080" activeTab="6"/>
  </bookViews>
  <sheets>
    <sheet name="Aktivitäten" sheetId="2" r:id="rId1"/>
    <sheet name="Energiefenster" sheetId="7" r:id="rId2"/>
    <sheet name="Impulse Mix" sheetId="1" r:id="rId3"/>
    <sheet name="Impulse Lu-177m" sheetId="9" r:id="rId4"/>
    <sheet name="Impulse I-131" sheetId="8" r:id="rId5"/>
    <sheet name="Berechnungen_2Fenster" sheetId="4" r:id="rId6"/>
    <sheet name="Bilder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7" l="1"/>
  <c r="F9" i="7" s="1"/>
  <c r="G10" i="7"/>
  <c r="F10" i="7" s="1"/>
  <c r="J10" i="7"/>
  <c r="J9" i="7"/>
  <c r="N6" i="8" l="1"/>
  <c r="I7" i="8"/>
  <c r="J7" i="8"/>
  <c r="K7" i="8"/>
  <c r="L7" i="8"/>
  <c r="M7" i="8"/>
  <c r="I8" i="8"/>
  <c r="J8" i="8"/>
  <c r="K8" i="8"/>
  <c r="L8" i="8"/>
  <c r="M8" i="8"/>
  <c r="J6" i="8"/>
  <c r="K6" i="8"/>
  <c r="L6" i="8"/>
  <c r="M6" i="8"/>
  <c r="P25" i="9"/>
  <c r="Q25" i="9"/>
  <c r="R25" i="9"/>
  <c r="Q24" i="9"/>
  <c r="R24" i="9"/>
  <c r="R23" i="9"/>
  <c r="P21" i="9"/>
  <c r="Q21" i="9"/>
  <c r="Q20" i="9"/>
  <c r="R20" i="9"/>
  <c r="R19" i="9"/>
  <c r="P17" i="9"/>
  <c r="Q17" i="9"/>
  <c r="R17" i="9"/>
  <c r="Q16" i="9"/>
  <c r="R16" i="9"/>
  <c r="R15" i="9"/>
  <c r="N15" i="9"/>
  <c r="P13" i="9"/>
  <c r="O11" i="9"/>
  <c r="P11" i="9"/>
  <c r="R11" i="9"/>
  <c r="O10" i="9"/>
  <c r="P10" i="9"/>
  <c r="P9" i="9"/>
  <c r="O7" i="9"/>
  <c r="P7" i="9"/>
  <c r="R7" i="9"/>
  <c r="N24" i="9"/>
  <c r="N20" i="9"/>
  <c r="N16" i="9"/>
  <c r="N11" i="9"/>
  <c r="N7" i="9"/>
  <c r="I7" i="9"/>
  <c r="J7" i="9"/>
  <c r="K7" i="9"/>
  <c r="L7" i="9"/>
  <c r="Q7" i="9" s="1"/>
  <c r="M7" i="9"/>
  <c r="I8" i="9"/>
  <c r="N8" i="9" s="1"/>
  <c r="J8" i="9"/>
  <c r="O8" i="9" s="1"/>
  <c r="K8" i="9"/>
  <c r="P8" i="9" s="1"/>
  <c r="L8" i="9"/>
  <c r="Q8" i="9" s="1"/>
  <c r="M8" i="9"/>
  <c r="R8" i="9" s="1"/>
  <c r="I9" i="9"/>
  <c r="N9" i="9" s="1"/>
  <c r="J9" i="9"/>
  <c r="O9" i="9" s="1"/>
  <c r="K9" i="9"/>
  <c r="L9" i="9"/>
  <c r="Q9" i="9" s="1"/>
  <c r="M9" i="9"/>
  <c r="R9" i="9" s="1"/>
  <c r="I10" i="9"/>
  <c r="N10" i="9" s="1"/>
  <c r="J10" i="9"/>
  <c r="K10" i="9"/>
  <c r="L10" i="9"/>
  <c r="Q10" i="9" s="1"/>
  <c r="M10" i="9"/>
  <c r="R10" i="9" s="1"/>
  <c r="I11" i="9"/>
  <c r="J11" i="9"/>
  <c r="K11" i="9"/>
  <c r="L11" i="9"/>
  <c r="Q11" i="9" s="1"/>
  <c r="M11" i="9"/>
  <c r="I12" i="9"/>
  <c r="N12" i="9" s="1"/>
  <c r="J12" i="9"/>
  <c r="O12" i="9" s="1"/>
  <c r="K12" i="9"/>
  <c r="P12" i="9" s="1"/>
  <c r="L12" i="9"/>
  <c r="Q12" i="9" s="1"/>
  <c r="M12" i="9"/>
  <c r="R12" i="9" s="1"/>
  <c r="I13" i="9"/>
  <c r="N13" i="9" s="1"/>
  <c r="J13" i="9"/>
  <c r="O13" i="9" s="1"/>
  <c r="K13" i="9"/>
  <c r="L13" i="9"/>
  <c r="Q13" i="9" s="1"/>
  <c r="M13" i="9"/>
  <c r="R13" i="9" s="1"/>
  <c r="I14" i="9"/>
  <c r="N14" i="9" s="1"/>
  <c r="J14" i="9"/>
  <c r="O14" i="9" s="1"/>
  <c r="K14" i="9"/>
  <c r="P14" i="9" s="1"/>
  <c r="L14" i="9"/>
  <c r="Q14" i="9" s="1"/>
  <c r="M14" i="9"/>
  <c r="R14" i="9" s="1"/>
  <c r="I15" i="9"/>
  <c r="J15" i="9"/>
  <c r="O15" i="9" s="1"/>
  <c r="K15" i="9"/>
  <c r="P15" i="9" s="1"/>
  <c r="L15" i="9"/>
  <c r="Q15" i="9" s="1"/>
  <c r="M15" i="9"/>
  <c r="I16" i="9"/>
  <c r="J16" i="9"/>
  <c r="O16" i="9" s="1"/>
  <c r="K16" i="9"/>
  <c r="P16" i="9" s="1"/>
  <c r="L16" i="9"/>
  <c r="M16" i="9"/>
  <c r="I17" i="9"/>
  <c r="N17" i="9" s="1"/>
  <c r="J17" i="9"/>
  <c r="O17" i="9" s="1"/>
  <c r="K17" i="9"/>
  <c r="L17" i="9"/>
  <c r="M17" i="9"/>
  <c r="I18" i="9"/>
  <c r="N18" i="9" s="1"/>
  <c r="J18" i="9"/>
  <c r="O18" i="9" s="1"/>
  <c r="K18" i="9"/>
  <c r="P18" i="9" s="1"/>
  <c r="L18" i="9"/>
  <c r="Q18" i="9" s="1"/>
  <c r="M18" i="9"/>
  <c r="R18" i="9" s="1"/>
  <c r="I19" i="9"/>
  <c r="N19" i="9" s="1"/>
  <c r="J19" i="9"/>
  <c r="O19" i="9" s="1"/>
  <c r="K19" i="9"/>
  <c r="P19" i="9" s="1"/>
  <c r="L19" i="9"/>
  <c r="Q19" i="9" s="1"/>
  <c r="M19" i="9"/>
  <c r="I20" i="9"/>
  <c r="J20" i="9"/>
  <c r="O20" i="9" s="1"/>
  <c r="K20" i="9"/>
  <c r="P20" i="9" s="1"/>
  <c r="L20" i="9"/>
  <c r="M20" i="9"/>
  <c r="I21" i="9"/>
  <c r="N21" i="9" s="1"/>
  <c r="J21" i="9"/>
  <c r="O21" i="9" s="1"/>
  <c r="K21" i="9"/>
  <c r="L21" i="9"/>
  <c r="M21" i="9"/>
  <c r="R21" i="9" s="1"/>
  <c r="I22" i="9"/>
  <c r="N22" i="9" s="1"/>
  <c r="J22" i="9"/>
  <c r="O22" i="9" s="1"/>
  <c r="K22" i="9"/>
  <c r="P22" i="9" s="1"/>
  <c r="L22" i="9"/>
  <c r="Q22" i="9" s="1"/>
  <c r="M22" i="9"/>
  <c r="R22" i="9" s="1"/>
  <c r="I23" i="9"/>
  <c r="N23" i="9" s="1"/>
  <c r="J23" i="9"/>
  <c r="O23" i="9" s="1"/>
  <c r="K23" i="9"/>
  <c r="P23" i="9" s="1"/>
  <c r="L23" i="9"/>
  <c r="Q23" i="9" s="1"/>
  <c r="M23" i="9"/>
  <c r="I24" i="9"/>
  <c r="J24" i="9"/>
  <c r="O24" i="9" s="1"/>
  <c r="K24" i="9"/>
  <c r="P24" i="9" s="1"/>
  <c r="L24" i="9"/>
  <c r="M24" i="9"/>
  <c r="I25" i="9"/>
  <c r="N25" i="9" s="1"/>
  <c r="J25" i="9"/>
  <c r="O25" i="9" s="1"/>
  <c r="K25" i="9"/>
  <c r="L25" i="9"/>
  <c r="M25" i="9"/>
  <c r="J6" i="9"/>
  <c r="O6" i="9" s="1"/>
  <c r="K6" i="9"/>
  <c r="P6" i="9" s="1"/>
  <c r="L6" i="9"/>
  <c r="Q6" i="9" s="1"/>
  <c r="M6" i="9"/>
  <c r="R6" i="9" s="1"/>
  <c r="I6" i="9"/>
  <c r="N6" i="9" s="1"/>
  <c r="R7" i="1"/>
  <c r="M31" i="1"/>
  <c r="K12" i="1"/>
  <c r="M7" i="1"/>
  <c r="I7" i="1"/>
  <c r="Q33" i="4"/>
  <c r="R6" i="8" l="1"/>
  <c r="Q8" i="8" l="1"/>
  <c r="O8" i="8"/>
  <c r="N8" i="8"/>
  <c r="Q7" i="8"/>
  <c r="O7" i="8"/>
  <c r="N7" i="8"/>
  <c r="Q6" i="8"/>
  <c r="P6" i="8"/>
  <c r="O6" i="8"/>
  <c r="I6" i="8"/>
  <c r="J8" i="7"/>
  <c r="G8" i="7"/>
  <c r="F8" i="7" s="1"/>
  <c r="J7" i="7"/>
  <c r="G7" i="7"/>
  <c r="F7" i="7"/>
  <c r="J6" i="7"/>
  <c r="G6" i="7"/>
  <c r="F6" i="7" s="1"/>
  <c r="J5" i="7"/>
  <c r="G5" i="7"/>
  <c r="F5" i="7"/>
  <c r="J4" i="7"/>
  <c r="G4" i="7"/>
  <c r="F4" i="7" s="1"/>
  <c r="P7" i="8" l="1"/>
  <c r="R7" i="8"/>
  <c r="P8" i="8"/>
  <c r="R8" i="8"/>
  <c r="C10" i="2" l="1"/>
  <c r="C9" i="2"/>
  <c r="E9" i="2"/>
  <c r="E10" i="2" s="1"/>
  <c r="Z26" i="4" l="1"/>
  <c r="AB26" i="4"/>
  <c r="AC26" i="4"/>
  <c r="AA26" i="4"/>
  <c r="AF26" i="4"/>
  <c r="AG26" i="4"/>
  <c r="AH26" i="4"/>
  <c r="AE26" i="4"/>
  <c r="Y26" i="4"/>
  <c r="W26" i="4"/>
  <c r="V26" i="4"/>
  <c r="U26" i="4"/>
  <c r="Q26" i="4"/>
  <c r="R26" i="4"/>
  <c r="S26" i="4"/>
  <c r="P26" i="4"/>
  <c r="K26" i="4"/>
  <c r="L26" i="4"/>
  <c r="M26" i="4"/>
  <c r="N26" i="4"/>
  <c r="J26" i="4"/>
  <c r="Q13" i="1"/>
  <c r="O22" i="1"/>
  <c r="Q22" i="1"/>
  <c r="O31" i="1"/>
  <c r="P31" i="1"/>
  <c r="Q31" i="1"/>
  <c r="N31" i="1"/>
  <c r="N22" i="1"/>
  <c r="N13" i="1"/>
  <c r="J31" i="1"/>
  <c r="K31" i="1"/>
  <c r="L31" i="1"/>
  <c r="R31" i="1"/>
  <c r="J22" i="1"/>
  <c r="K22" i="1"/>
  <c r="P22" i="1" s="1"/>
  <c r="L22" i="1"/>
  <c r="M22" i="1"/>
  <c r="R22" i="1" s="1"/>
  <c r="I31" i="1"/>
  <c r="I22" i="1"/>
  <c r="J13" i="1"/>
  <c r="O13" i="1" s="1"/>
  <c r="K13" i="1"/>
  <c r="P13" i="1" s="1"/>
  <c r="L13" i="1"/>
  <c r="M13" i="1"/>
  <c r="R13" i="1" s="1"/>
  <c r="I13" i="1"/>
  <c r="I12" i="1"/>
  <c r="C49" i="2" l="1"/>
  <c r="W34" i="4" l="1"/>
  <c r="W35" i="4"/>
  <c r="W36" i="4"/>
  <c r="W37" i="4"/>
  <c r="W38" i="4"/>
  <c r="W33" i="4"/>
  <c r="V34" i="4"/>
  <c r="V35" i="4"/>
  <c r="V36" i="4"/>
  <c r="V37" i="4"/>
  <c r="V38" i="4"/>
  <c r="V33" i="4"/>
  <c r="Q34" i="4"/>
  <c r="Q35" i="4"/>
  <c r="Q36" i="4"/>
  <c r="Q37" i="4"/>
  <c r="Q38" i="4"/>
  <c r="K34" i="4"/>
  <c r="K35" i="4"/>
  <c r="K36" i="4"/>
  <c r="K37" i="4"/>
  <c r="K38" i="4"/>
  <c r="K33" i="4"/>
  <c r="U25" i="4"/>
  <c r="U21" i="4"/>
  <c r="U22" i="4"/>
  <c r="U23" i="4"/>
  <c r="U24" i="4"/>
  <c r="U20" i="4"/>
  <c r="P20" i="4" l="1"/>
  <c r="E44" i="2"/>
  <c r="Z20" i="4" l="1"/>
  <c r="V20" i="4"/>
  <c r="W20" i="4"/>
  <c r="Y20" i="4" l="1"/>
  <c r="L38" i="4" l="1"/>
  <c r="M38" i="4"/>
  <c r="N38" i="4"/>
  <c r="O38" i="4"/>
  <c r="J38" i="4"/>
  <c r="Q25" i="4"/>
  <c r="AA25" i="4" s="1"/>
  <c r="R25" i="4"/>
  <c r="AB25" i="4" s="1"/>
  <c r="S25" i="4"/>
  <c r="AC25" i="4" s="1"/>
  <c r="P25" i="4"/>
  <c r="Z25" i="4" s="1"/>
  <c r="K25" i="4"/>
  <c r="AF25" i="4" s="1"/>
  <c r="L25" i="4"/>
  <c r="AG25" i="4" s="1"/>
  <c r="M25" i="4"/>
  <c r="AH25" i="4" s="1"/>
  <c r="N25" i="4"/>
  <c r="J25" i="4"/>
  <c r="AE25" i="4" s="1"/>
  <c r="O30" i="1"/>
  <c r="Q30" i="1"/>
  <c r="N30" i="1"/>
  <c r="J30" i="1"/>
  <c r="K30" i="1"/>
  <c r="P30" i="1" s="1"/>
  <c r="L30" i="1"/>
  <c r="M30" i="1"/>
  <c r="R30" i="1" s="1"/>
  <c r="I30" i="1"/>
  <c r="O21" i="1"/>
  <c r="Q21" i="1"/>
  <c r="N21" i="1"/>
  <c r="J21" i="1"/>
  <c r="K21" i="1"/>
  <c r="P21" i="1" s="1"/>
  <c r="L21" i="1"/>
  <c r="M21" i="1"/>
  <c r="R21" i="1" s="1"/>
  <c r="I21" i="1"/>
  <c r="O12" i="1"/>
  <c r="Q12" i="1"/>
  <c r="N12" i="1"/>
  <c r="J12" i="1"/>
  <c r="P12" i="1"/>
  <c r="L12" i="1"/>
  <c r="M12" i="1"/>
  <c r="R12" i="1" s="1"/>
  <c r="Y25" i="4" l="1"/>
  <c r="C45" i="2"/>
  <c r="C46" i="2"/>
  <c r="C47" i="2"/>
  <c r="C48" i="2"/>
  <c r="C44" i="2"/>
  <c r="W25" i="4" l="1"/>
  <c r="V25" i="4"/>
  <c r="L37" i="4"/>
  <c r="M37" i="4"/>
  <c r="N37" i="4"/>
  <c r="O37" i="4"/>
  <c r="J37" i="4"/>
  <c r="Q24" i="4"/>
  <c r="AA24" i="4" s="1"/>
  <c r="R24" i="4"/>
  <c r="AB24" i="4" s="1"/>
  <c r="S24" i="4"/>
  <c r="AC24" i="4" s="1"/>
  <c r="P24" i="4"/>
  <c r="Z24" i="4" s="1"/>
  <c r="K24" i="4"/>
  <c r="AF24" i="4" s="1"/>
  <c r="L24" i="4"/>
  <c r="AG24" i="4" s="1"/>
  <c r="M24" i="4"/>
  <c r="AH24" i="4" s="1"/>
  <c r="N24" i="4"/>
  <c r="J24" i="4"/>
  <c r="AE24" i="4" s="1"/>
  <c r="R29" i="1"/>
  <c r="J29" i="1"/>
  <c r="O29" i="1" s="1"/>
  <c r="K29" i="1"/>
  <c r="P29" i="1" s="1"/>
  <c r="L29" i="1"/>
  <c r="Q29" i="1" s="1"/>
  <c r="M29" i="1"/>
  <c r="I29" i="1"/>
  <c r="N29" i="1" s="1"/>
  <c r="I28" i="1"/>
  <c r="J20" i="1"/>
  <c r="O20" i="1" s="1"/>
  <c r="K20" i="1"/>
  <c r="P20" i="1" s="1"/>
  <c r="L20" i="1"/>
  <c r="Q20" i="1" s="1"/>
  <c r="M20" i="1"/>
  <c r="R20" i="1" s="1"/>
  <c r="I20" i="1"/>
  <c r="N20" i="1" s="1"/>
  <c r="J11" i="1"/>
  <c r="O11" i="1" s="1"/>
  <c r="K11" i="1"/>
  <c r="P11" i="1" s="1"/>
  <c r="L11" i="1"/>
  <c r="Q11" i="1" s="1"/>
  <c r="M11" i="1"/>
  <c r="R11" i="1" s="1"/>
  <c r="I11" i="1"/>
  <c r="N11" i="1" s="1"/>
  <c r="Y24" i="4" l="1"/>
  <c r="W24" i="4" l="1"/>
  <c r="V24" i="4"/>
  <c r="L36" i="4" l="1"/>
  <c r="M36" i="4"/>
  <c r="N36" i="4"/>
  <c r="O36" i="4"/>
  <c r="J36" i="4"/>
  <c r="L35" i="4"/>
  <c r="M35" i="4"/>
  <c r="N35" i="4"/>
  <c r="O35" i="4"/>
  <c r="J35" i="4"/>
  <c r="L34" i="4"/>
  <c r="M34" i="4"/>
  <c r="N34" i="4"/>
  <c r="O34" i="4"/>
  <c r="J34" i="4"/>
  <c r="L33" i="4"/>
  <c r="M33" i="4"/>
  <c r="N33" i="4"/>
  <c r="O33" i="4"/>
  <c r="J33" i="4"/>
  <c r="Q23" i="4"/>
  <c r="AA23" i="4" s="1"/>
  <c r="R23" i="4"/>
  <c r="AB23" i="4" s="1"/>
  <c r="S23" i="4"/>
  <c r="AC23" i="4" s="1"/>
  <c r="P23" i="4"/>
  <c r="Z23" i="4" s="1"/>
  <c r="Q22" i="4"/>
  <c r="AA22" i="4" s="1"/>
  <c r="R22" i="4"/>
  <c r="AB22" i="4" s="1"/>
  <c r="S22" i="4"/>
  <c r="AC22" i="4" s="1"/>
  <c r="P22" i="4"/>
  <c r="Z22" i="4" s="1"/>
  <c r="Q21" i="4"/>
  <c r="AA21" i="4" s="1"/>
  <c r="R21" i="4"/>
  <c r="AB21" i="4" s="1"/>
  <c r="S21" i="4"/>
  <c r="AC21" i="4" s="1"/>
  <c r="P21" i="4"/>
  <c r="Z21" i="4" s="1"/>
  <c r="S20" i="4"/>
  <c r="AC20" i="4" s="1"/>
  <c r="Q20" i="4"/>
  <c r="AA20" i="4" s="1"/>
  <c r="R20" i="4"/>
  <c r="AB20" i="4" s="1"/>
  <c r="K23" i="4"/>
  <c r="AF23" i="4" s="1"/>
  <c r="L23" i="4"/>
  <c r="AG23" i="4" s="1"/>
  <c r="M23" i="4"/>
  <c r="AH23" i="4" s="1"/>
  <c r="N23" i="4"/>
  <c r="K22" i="4"/>
  <c r="AF22" i="4" s="1"/>
  <c r="L22" i="4"/>
  <c r="AG22" i="4" s="1"/>
  <c r="M22" i="4"/>
  <c r="AH22" i="4" s="1"/>
  <c r="N22" i="4"/>
  <c r="K21" i="4"/>
  <c r="AF21" i="4" s="1"/>
  <c r="L21" i="4"/>
  <c r="AG21" i="4" s="1"/>
  <c r="M21" i="4"/>
  <c r="AH21" i="4" s="1"/>
  <c r="N21" i="4"/>
  <c r="K20" i="4"/>
  <c r="AF20" i="4" s="1"/>
  <c r="L20" i="4"/>
  <c r="AG20" i="4" s="1"/>
  <c r="M20" i="4"/>
  <c r="AH20" i="4" s="1"/>
  <c r="N20" i="4"/>
  <c r="J20" i="4"/>
  <c r="AE20" i="4" s="1"/>
  <c r="Y22" i="4" l="1"/>
  <c r="Y23" i="4"/>
  <c r="Y21" i="4"/>
  <c r="J23" i="4"/>
  <c r="AE23" i="4" s="1"/>
  <c r="J22" i="4"/>
  <c r="AE22" i="4" s="1"/>
  <c r="J21" i="4"/>
  <c r="AE21" i="4" s="1"/>
  <c r="V23" i="4" l="1"/>
  <c r="W23" i="4"/>
  <c r="W21" i="4"/>
  <c r="V21" i="4"/>
  <c r="V22" i="4"/>
  <c r="W22" i="4"/>
  <c r="R27" i="1" l="1"/>
  <c r="J28" i="1"/>
  <c r="O28" i="1" s="1"/>
  <c r="K28" i="1"/>
  <c r="P28" i="1" s="1"/>
  <c r="L28" i="1"/>
  <c r="Q28" i="1" s="1"/>
  <c r="M28" i="1"/>
  <c r="R28" i="1" s="1"/>
  <c r="J27" i="1"/>
  <c r="O27" i="1" s="1"/>
  <c r="K27" i="1"/>
  <c r="P27" i="1" s="1"/>
  <c r="L27" i="1"/>
  <c r="Q27" i="1" s="1"/>
  <c r="M27" i="1"/>
  <c r="J26" i="1"/>
  <c r="O26" i="1" s="1"/>
  <c r="K26" i="1"/>
  <c r="P26" i="1" s="1"/>
  <c r="L26" i="1"/>
  <c r="Q26" i="1" s="1"/>
  <c r="M26" i="1"/>
  <c r="R26" i="1" s="1"/>
  <c r="J25" i="1"/>
  <c r="O25" i="1" s="1"/>
  <c r="K25" i="1"/>
  <c r="P25" i="1" s="1"/>
  <c r="L25" i="1"/>
  <c r="Q25" i="1" s="1"/>
  <c r="M25" i="1"/>
  <c r="R25" i="1" s="1"/>
  <c r="N28" i="1"/>
  <c r="I27" i="1"/>
  <c r="N27" i="1" s="1"/>
  <c r="I26" i="1"/>
  <c r="N26" i="1" s="1"/>
  <c r="I25" i="1"/>
  <c r="N25" i="1" s="1"/>
  <c r="Q19" i="1"/>
  <c r="R17" i="1"/>
  <c r="J19" i="1"/>
  <c r="O19" i="1" s="1"/>
  <c r="K19" i="1"/>
  <c r="P19" i="1" s="1"/>
  <c r="L19" i="1"/>
  <c r="M19" i="1"/>
  <c r="R19" i="1" s="1"/>
  <c r="J18" i="1"/>
  <c r="O18" i="1" s="1"/>
  <c r="K18" i="1"/>
  <c r="P18" i="1" s="1"/>
  <c r="L18" i="1"/>
  <c r="Q18" i="1" s="1"/>
  <c r="M18" i="1"/>
  <c r="R18" i="1" s="1"/>
  <c r="I19" i="1"/>
  <c r="N19" i="1" s="1"/>
  <c r="I18" i="1"/>
  <c r="N18" i="1" s="1"/>
  <c r="J17" i="1"/>
  <c r="O17" i="1" s="1"/>
  <c r="K17" i="1"/>
  <c r="P17" i="1" s="1"/>
  <c r="L17" i="1"/>
  <c r="Q17" i="1" s="1"/>
  <c r="M17" i="1"/>
  <c r="I17" i="1"/>
  <c r="N17" i="1" s="1"/>
  <c r="J16" i="1"/>
  <c r="O16" i="1" s="1"/>
  <c r="K16" i="1"/>
  <c r="P16" i="1" s="1"/>
  <c r="L16" i="1"/>
  <c r="Q16" i="1" s="1"/>
  <c r="M16" i="1"/>
  <c r="R16" i="1" s="1"/>
  <c r="I16" i="1"/>
  <c r="N16" i="1" s="1"/>
  <c r="G43" i="2"/>
  <c r="E45" i="2"/>
  <c r="F44" i="2"/>
  <c r="F45" i="2" s="1"/>
  <c r="F46" i="2" s="1"/>
  <c r="F47" i="2" s="1"/>
  <c r="F48" i="2" s="1"/>
  <c r="F49" i="2" s="1"/>
  <c r="G45" i="2" l="1"/>
  <c r="G44" i="2"/>
  <c r="E46" i="2"/>
  <c r="M9" i="1"/>
  <c r="R9" i="1" s="1"/>
  <c r="I9" i="1"/>
  <c r="N9" i="1" s="1"/>
  <c r="J7" i="1"/>
  <c r="O7" i="1" s="1"/>
  <c r="K7" i="1"/>
  <c r="P7" i="1" s="1"/>
  <c r="L7" i="1"/>
  <c r="N7" i="1"/>
  <c r="J10" i="1"/>
  <c r="O10" i="1" s="1"/>
  <c r="K10" i="1"/>
  <c r="P10" i="1" s="1"/>
  <c r="L10" i="1"/>
  <c r="Q10" i="1" s="1"/>
  <c r="M10" i="1"/>
  <c r="R10" i="1" s="1"/>
  <c r="I10" i="1"/>
  <c r="N10" i="1" s="1"/>
  <c r="Q7" i="1"/>
  <c r="I8" i="1"/>
  <c r="N8" i="1" s="1"/>
  <c r="E47" i="2" l="1"/>
  <c r="G46" i="2"/>
  <c r="J9" i="1"/>
  <c r="O9" i="1" s="1"/>
  <c r="K9" i="1"/>
  <c r="P9" i="1" s="1"/>
  <c r="L9" i="1"/>
  <c r="Q9" i="1" s="1"/>
  <c r="J8" i="1"/>
  <c r="O8" i="1" s="1"/>
  <c r="K8" i="1"/>
  <c r="P8" i="1" s="1"/>
  <c r="L8" i="1"/>
  <c r="Q8" i="1" s="1"/>
  <c r="M8" i="1"/>
  <c r="R8" i="1" s="1"/>
  <c r="G47" i="2" l="1"/>
  <c r="E48" i="2"/>
  <c r="G48" i="2" l="1"/>
  <c r="E49" i="2"/>
  <c r="G49" i="2" s="1"/>
</calcChain>
</file>

<file path=xl/sharedStrings.xml><?xml version="1.0" encoding="utf-8"?>
<sst xmlns="http://schemas.openxmlformats.org/spreadsheetml/2006/main" count="386" uniqueCount="132">
  <si>
    <t>Energiefenster</t>
  </si>
  <si>
    <t>A</t>
  </si>
  <si>
    <t>Lage</t>
  </si>
  <si>
    <t>Breite</t>
  </si>
  <si>
    <t>min</t>
  </si>
  <si>
    <t>max</t>
  </si>
  <si>
    <t>E</t>
  </si>
  <si>
    <t>Bemerkung</t>
  </si>
  <si>
    <t>B</t>
  </si>
  <si>
    <t>C</t>
  </si>
  <si>
    <t>D</t>
  </si>
  <si>
    <t>Lu177 113keV</t>
  </si>
  <si>
    <t>Lu177 208keV</t>
  </si>
  <si>
    <t>I131 370keV</t>
  </si>
  <si>
    <t>Lu177 B+C</t>
  </si>
  <si>
    <t>Lu177 Röntgen</t>
  </si>
  <si>
    <t>[keV]</t>
  </si>
  <si>
    <t>[Bq]</t>
  </si>
  <si>
    <t>Datum</t>
  </si>
  <si>
    <t>Aktivität</t>
  </si>
  <si>
    <t>Marinelligefäße mit 1L</t>
  </si>
  <si>
    <t>Kanal von</t>
  </si>
  <si>
    <t>Kanal bis</t>
  </si>
  <si>
    <t>Messdauer</t>
  </si>
  <si>
    <t>[s]</t>
  </si>
  <si>
    <t># Kanäle</t>
  </si>
  <si>
    <t>KB</t>
  </si>
  <si>
    <t>KC</t>
  </si>
  <si>
    <t>KD</t>
  </si>
  <si>
    <t>KE</t>
  </si>
  <si>
    <t>KA</t>
  </si>
  <si>
    <t>[Bq/cps]</t>
  </si>
  <si>
    <t>[cps]</t>
  </si>
  <si>
    <t>[cts]</t>
  </si>
  <si>
    <t>I131</t>
  </si>
  <si>
    <t>Lu177m</t>
  </si>
  <si>
    <t>MIX</t>
  </si>
  <si>
    <t>Summe</t>
  </si>
  <si>
    <t>K(MIX) = K(I131) + K(Lu177m)</t>
  </si>
  <si>
    <t>Lu177m (rein)</t>
  </si>
  <si>
    <t>I131 (rein)</t>
  </si>
  <si>
    <t>Probe</t>
  </si>
  <si>
    <t>Nuklidgemisch Zählrate</t>
  </si>
  <si>
    <t>aus A</t>
  </si>
  <si>
    <t>aus B</t>
  </si>
  <si>
    <t>aus C</t>
  </si>
  <si>
    <t>aus D</t>
  </si>
  <si>
    <t>Lu-177m Aktivitäten</t>
  </si>
  <si>
    <t>Lu-177m</t>
  </si>
  <si>
    <t>echt</t>
  </si>
  <si>
    <t>I-131</t>
  </si>
  <si>
    <t>aus E</t>
  </si>
  <si>
    <t>Aktivität Anzeige</t>
  </si>
  <si>
    <t>Messungen</t>
  </si>
  <si>
    <t>t1</t>
  </si>
  <si>
    <t>Kalibrierfaktoren gemäß DIN</t>
  </si>
  <si>
    <t>Lu177m ca. 80Bq</t>
  </si>
  <si>
    <t>Lu177m ca. 8000Bq</t>
  </si>
  <si>
    <t>&lt;100 cps</t>
  </si>
  <si>
    <t>&gt;10000cps</t>
  </si>
  <si>
    <t>Handbuch für I131</t>
  </si>
  <si>
    <t>I-131 Aktivitäten</t>
  </si>
  <si>
    <t>ohne Übersprechung</t>
  </si>
  <si>
    <t>mit Übersprechung</t>
  </si>
  <si>
    <t>± 3,2%</t>
  </si>
  <si>
    <t>± 0,9%</t>
  </si>
  <si>
    <t>Zeitdifferenz</t>
  </si>
  <si>
    <t>[h]</t>
  </si>
  <si>
    <t>Modell</t>
  </si>
  <si>
    <t>ExpDec1</t>
  </si>
  <si>
    <t>Gleichung</t>
  </si>
  <si>
    <t>y = A1*exp(-x/t1) + y0</t>
  </si>
  <si>
    <t>Zeichnen</t>
  </si>
  <si>
    <t>Chi-Quadr Reduziert</t>
  </si>
  <si>
    <t>R-Quadrat (COD)</t>
  </si>
  <si>
    <t>Kor. R-Quadrat</t>
  </si>
  <si>
    <t>± 3,5%</t>
  </si>
  <si>
    <t>y0</t>
  </si>
  <si>
    <t>A1</t>
  </si>
  <si>
    <t>[%]</t>
  </si>
  <si>
    <t>Abweichung I-131</t>
  </si>
  <si>
    <t>Abweichung Lu-177m</t>
  </si>
  <si>
    <t>gemessen</t>
  </si>
  <si>
    <t>1316,11654 ± 251,25441</t>
  </si>
  <si>
    <t>-1305,30051 ± 249,02522</t>
  </si>
  <si>
    <t>1107,00947 ± 266,02309</t>
  </si>
  <si>
    <t>I-131 korr.</t>
  </si>
  <si>
    <t>aus A FIT</t>
  </si>
  <si>
    <t>A FIT</t>
  </si>
  <si>
    <t>ExpGro1</t>
  </si>
  <si>
    <t>y = A1*exp(x/t1) + y0</t>
  </si>
  <si>
    <t>gemessen Lu177m</t>
  </si>
  <si>
    <t>149,03281 ± 2,95861</t>
  </si>
  <si>
    <t>7,35872E-6 ± 1,574E-5</t>
  </si>
  <si>
    <t>12,45915 ± 1,63823</t>
  </si>
  <si>
    <t>Fit Lu177m korrektur rein vs. mix</t>
  </si>
  <si>
    <t>A korr</t>
  </si>
  <si>
    <t>mit Lu-177m Korrektur</t>
  </si>
  <si>
    <t>mit I-131-Korrektur</t>
  </si>
  <si>
    <t>± 2,8%</t>
  </si>
  <si>
    <t>± 3,7%</t>
  </si>
  <si>
    <t>aus Fenster E</t>
  </si>
  <si>
    <t>± 9,1%</t>
  </si>
  <si>
    <t>I-131 Messungen</t>
  </si>
  <si>
    <t>Mischnuklid Messungen</t>
  </si>
  <si>
    <t>Lu-177m Messungen</t>
  </si>
  <si>
    <t>Impulssumme in Fenstern</t>
  </si>
  <si>
    <t>Zählrate in Fensterns</t>
  </si>
  <si>
    <t>Kalibrierfaktor in Fenstern (gerechnet)</t>
  </si>
  <si>
    <t>F</t>
  </si>
  <si>
    <t>G</t>
  </si>
  <si>
    <t>Test</t>
  </si>
  <si>
    <t>D-C-B</t>
  </si>
  <si>
    <t>10kBq Lu177m</t>
  </si>
  <si>
    <t>1kBq I131</t>
  </si>
  <si>
    <t>beide 300s</t>
  </si>
  <si>
    <t>Impulse pro Kanal dividiert durch Gesamtaktivität ([y] = cts/Bq])</t>
  </si>
  <si>
    <t>Impulse pro Kanal dividiert durch Gesamtcounts und Messdauer ([y] = 1/s])</t>
  </si>
  <si>
    <t>geglättet</t>
  </si>
  <si>
    <t>Veränderungen sichtbar in Fenstern:</t>
  </si>
  <si>
    <t>[90-162]</t>
  </si>
  <si>
    <t>[673-908]</t>
  </si>
  <si>
    <t>[319-412]</t>
  </si>
  <si>
    <t>1000 Bq / 12,987 = 77 Bq</t>
  </si>
  <si>
    <t>77 Bq * 12,987 = 1000 Bq</t>
  </si>
  <si>
    <t>15 Bq *666,667 = 10000 Bq</t>
  </si>
  <si>
    <t>10000 Bq / 666,667 = 15 Bq</t>
  </si>
  <si>
    <t>Mischnuklide gemessen</t>
  </si>
  <si>
    <t>1000Bq (I131)/200 + 10000Bq (Lu177m)/62,89</t>
  </si>
  <si>
    <t>1000Bq (I131)/2 + 10000Bq (Lu177m)/50</t>
  </si>
  <si>
    <t>&gt; Mischspektren lassen sich gut aus reinen Spektren zusammensetzen</t>
  </si>
  <si>
    <t>&gt; wichtig entweder hohe Aktivität oder lange Messzeit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</si>
</sst>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Font="1"/>
    <xf numFmtId="164" fontId="0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6" borderId="0" xfId="0" applyFill="1" applyAlignment="1">
      <alignment horizontal="center"/>
    </xf>
    <xf numFmtId="0" fontId="0" fillId="2" borderId="0" xfId="0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5" fillId="0" borderId="0" xfId="0" applyNumberFormat="1" applyFont="1"/>
    <xf numFmtId="0" fontId="0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center"/>
    </xf>
    <xf numFmtId="164" fontId="9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10" fillId="0" borderId="0" xfId="0" applyNumberFormat="1" applyFont="1"/>
    <xf numFmtId="0" fontId="0" fillId="0" borderId="0" xfId="0" applyAlignment="1">
      <alignment horizontal="center"/>
    </xf>
    <xf numFmtId="0" fontId="0" fillId="10" borderId="0" xfId="0" applyFill="1"/>
    <xf numFmtId="2" fontId="11" fillId="0" borderId="0" xfId="0" applyNumberFormat="1" applyFont="1"/>
    <xf numFmtId="0" fontId="0" fillId="0" borderId="0" xfId="0" applyAlignment="1">
      <alignment horizontal="center"/>
    </xf>
    <xf numFmtId="164" fontId="12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22" fontId="11" fillId="0" borderId="0" xfId="0" applyNumberFormat="1" applyFon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45594</xdr:colOff>
      <xdr:row>15</xdr:row>
      <xdr:rowOff>66674</xdr:rowOff>
    </xdr:from>
    <xdr:to>
      <xdr:col>8</xdr:col>
      <xdr:colOff>455976</xdr:colOff>
      <xdr:row>41</xdr:row>
      <xdr:rowOff>46613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594" y="2924174"/>
          <a:ext cx="5972982" cy="493293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47</xdr:row>
      <xdr:rowOff>95251</xdr:rowOff>
    </xdr:from>
    <xdr:to>
      <xdr:col>8</xdr:col>
      <xdr:colOff>561975</xdr:colOff>
      <xdr:row>72</xdr:row>
      <xdr:rowOff>122665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9048751"/>
          <a:ext cx="6086475" cy="4789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33</xdr:row>
      <xdr:rowOff>9524</xdr:rowOff>
    </xdr:from>
    <xdr:to>
      <xdr:col>10</xdr:col>
      <xdr:colOff>567174</xdr:colOff>
      <xdr:row>58</xdr:row>
      <xdr:rowOff>190499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296024"/>
          <a:ext cx="6063099" cy="4943475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19050</xdr:rowOff>
    </xdr:from>
    <xdr:to>
      <xdr:col>19</xdr:col>
      <xdr:colOff>168986</xdr:colOff>
      <xdr:row>59</xdr:row>
      <xdr:rowOff>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05550"/>
          <a:ext cx="6045911" cy="4933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40</xdr:row>
      <xdr:rowOff>66674</xdr:rowOff>
    </xdr:from>
    <xdr:to>
      <xdr:col>13</xdr:col>
      <xdr:colOff>14694</xdr:colOff>
      <xdr:row>53</xdr:row>
      <xdr:rowOff>170811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1" y="7686674"/>
          <a:ext cx="6196418" cy="25806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2</xdr:row>
      <xdr:rowOff>19199</xdr:rowOff>
    </xdr:from>
    <xdr:to>
      <xdr:col>16</xdr:col>
      <xdr:colOff>354792</xdr:colOff>
      <xdr:row>24</xdr:row>
      <xdr:rowOff>166892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050" y="400199"/>
          <a:ext cx="5669742" cy="4338693"/>
        </a:xfrm>
        <a:prstGeom prst="rect">
          <a:avLst/>
        </a:prstGeom>
      </xdr:spPr>
    </xdr:pic>
    <xdr:clientData/>
  </xdr:twoCellAnchor>
  <xdr:twoCellAnchor editAs="oneCell">
    <xdr:from>
      <xdr:col>1</xdr:col>
      <xdr:colOff>26175</xdr:colOff>
      <xdr:row>2</xdr:row>
      <xdr:rowOff>16799</xdr:rowOff>
    </xdr:from>
    <xdr:to>
      <xdr:col>8</xdr:col>
      <xdr:colOff>361918</xdr:colOff>
      <xdr:row>24</xdr:row>
      <xdr:rowOff>164492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175" y="397799"/>
          <a:ext cx="5669743" cy="4338693"/>
        </a:xfrm>
        <a:prstGeom prst="rect">
          <a:avLst/>
        </a:prstGeom>
      </xdr:spPr>
    </xdr:pic>
    <xdr:clientData/>
  </xdr:twoCellAnchor>
  <xdr:twoCellAnchor editAs="oneCell">
    <xdr:from>
      <xdr:col>17</xdr:col>
      <xdr:colOff>42825</xdr:colOff>
      <xdr:row>2</xdr:row>
      <xdr:rowOff>14399</xdr:rowOff>
    </xdr:from>
    <xdr:to>
      <xdr:col>24</xdr:col>
      <xdr:colOff>378567</xdr:colOff>
      <xdr:row>24</xdr:row>
      <xdr:rowOff>162092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6825" y="395399"/>
          <a:ext cx="5669742" cy="4338693"/>
        </a:xfrm>
        <a:prstGeom prst="rect">
          <a:avLst/>
        </a:prstGeom>
      </xdr:spPr>
    </xdr:pic>
    <xdr:clientData/>
  </xdr:twoCellAnchor>
  <xdr:twoCellAnchor editAs="oneCell">
    <xdr:from>
      <xdr:col>9</xdr:col>
      <xdr:colOff>21375</xdr:colOff>
      <xdr:row>28</xdr:row>
      <xdr:rowOff>40574</xdr:rowOff>
    </xdr:from>
    <xdr:to>
      <xdr:col>16</xdr:col>
      <xdr:colOff>357117</xdr:colOff>
      <xdr:row>50</xdr:row>
      <xdr:rowOff>188267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375" y="5374574"/>
          <a:ext cx="5669742" cy="433869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28</xdr:row>
      <xdr:rowOff>38174</xdr:rowOff>
    </xdr:from>
    <xdr:to>
      <xdr:col>8</xdr:col>
      <xdr:colOff>345267</xdr:colOff>
      <xdr:row>50</xdr:row>
      <xdr:rowOff>185867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5372174"/>
          <a:ext cx="5669742" cy="4338693"/>
        </a:xfrm>
        <a:prstGeom prst="rect">
          <a:avLst/>
        </a:prstGeom>
      </xdr:spPr>
    </xdr:pic>
    <xdr:clientData/>
  </xdr:twoCellAnchor>
  <xdr:twoCellAnchor editAs="oneCell">
    <xdr:from>
      <xdr:col>17</xdr:col>
      <xdr:colOff>45150</xdr:colOff>
      <xdr:row>28</xdr:row>
      <xdr:rowOff>7199</xdr:rowOff>
    </xdr:from>
    <xdr:to>
      <xdr:col>24</xdr:col>
      <xdr:colOff>380892</xdr:colOff>
      <xdr:row>50</xdr:row>
      <xdr:rowOff>154892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9150" y="5341199"/>
          <a:ext cx="5669742" cy="4338693"/>
        </a:xfrm>
        <a:prstGeom prst="rect">
          <a:avLst/>
        </a:prstGeom>
      </xdr:spPr>
    </xdr:pic>
    <xdr:clientData/>
  </xdr:twoCellAnchor>
  <xdr:twoCellAnchor editAs="oneCell">
    <xdr:from>
      <xdr:col>17</xdr:col>
      <xdr:colOff>42750</xdr:colOff>
      <xdr:row>54</xdr:row>
      <xdr:rowOff>23849</xdr:rowOff>
    </xdr:from>
    <xdr:to>
      <xdr:col>24</xdr:col>
      <xdr:colOff>378492</xdr:colOff>
      <xdr:row>76</xdr:row>
      <xdr:rowOff>171542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6750" y="10310849"/>
          <a:ext cx="5669742" cy="4338693"/>
        </a:xfrm>
        <a:prstGeom prst="rect">
          <a:avLst/>
        </a:prstGeom>
      </xdr:spPr>
    </xdr:pic>
    <xdr:clientData/>
  </xdr:twoCellAnchor>
  <xdr:twoCellAnchor editAs="oneCell">
    <xdr:from>
      <xdr:col>9</xdr:col>
      <xdr:colOff>30825</xdr:colOff>
      <xdr:row>54</xdr:row>
      <xdr:rowOff>40499</xdr:rowOff>
    </xdr:from>
    <xdr:to>
      <xdr:col>16</xdr:col>
      <xdr:colOff>366568</xdr:colOff>
      <xdr:row>76</xdr:row>
      <xdr:rowOff>188192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8825" y="10327499"/>
          <a:ext cx="5669743" cy="4338693"/>
        </a:xfrm>
        <a:prstGeom prst="rect">
          <a:avLst/>
        </a:prstGeom>
      </xdr:spPr>
    </xdr:pic>
    <xdr:clientData/>
  </xdr:twoCellAnchor>
  <xdr:twoCellAnchor editAs="oneCell">
    <xdr:from>
      <xdr:col>1</xdr:col>
      <xdr:colOff>95100</xdr:colOff>
      <xdr:row>54</xdr:row>
      <xdr:rowOff>47624</xdr:rowOff>
    </xdr:from>
    <xdr:to>
      <xdr:col>8</xdr:col>
      <xdr:colOff>430842</xdr:colOff>
      <xdr:row>77</xdr:row>
      <xdr:rowOff>4817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00" y="10334624"/>
          <a:ext cx="5669742" cy="4338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"/>
  <sheetViews>
    <sheetView workbookViewId="0">
      <selection activeCell="N24" sqref="N24"/>
    </sheetView>
  </sheetViews>
  <sheetFormatPr baseColWidth="10" defaultRowHeight="15" x14ac:dyDescent="0.25"/>
  <cols>
    <col min="2" max="2" width="16.5703125" customWidth="1"/>
    <col min="3" max="4" width="15.140625" customWidth="1"/>
  </cols>
  <sheetData>
    <row r="2" spans="2:9" x14ac:dyDescent="0.25">
      <c r="B2" t="s">
        <v>20</v>
      </c>
    </row>
    <row r="4" spans="2:9" x14ac:dyDescent="0.25">
      <c r="B4" s="48" t="s">
        <v>103</v>
      </c>
      <c r="C4" s="49"/>
      <c r="D4" s="49"/>
      <c r="E4" s="49"/>
      <c r="F4" s="49"/>
      <c r="G4" s="49"/>
      <c r="H4" s="49"/>
      <c r="I4" s="50"/>
    </row>
    <row r="5" spans="2:9" x14ac:dyDescent="0.25">
      <c r="B5" s="40"/>
      <c r="C5" s="40"/>
      <c r="D5" s="40"/>
      <c r="E5" s="8" t="s">
        <v>34</v>
      </c>
      <c r="F5" s="40"/>
      <c r="G5" s="40"/>
      <c r="H5" s="43" t="s">
        <v>52</v>
      </c>
      <c r="I5" s="40"/>
    </row>
    <row r="6" spans="2:9" x14ac:dyDescent="0.25">
      <c r="B6" s="8"/>
      <c r="C6" s="8" t="s">
        <v>66</v>
      </c>
      <c r="D6" s="8" t="s">
        <v>23</v>
      </c>
      <c r="E6" s="8" t="s">
        <v>19</v>
      </c>
      <c r="F6" s="40"/>
      <c r="G6" s="40"/>
      <c r="H6" s="8" t="s">
        <v>101</v>
      </c>
      <c r="I6" s="40"/>
    </row>
    <row r="7" spans="2:9" x14ac:dyDescent="0.25">
      <c r="B7" s="8" t="s">
        <v>18</v>
      </c>
      <c r="C7" s="8" t="s">
        <v>67</v>
      </c>
      <c r="D7" s="8" t="s">
        <v>24</v>
      </c>
      <c r="E7" s="8" t="s">
        <v>17</v>
      </c>
      <c r="F7" s="40"/>
      <c r="G7" s="40"/>
      <c r="H7" s="8" t="s">
        <v>17</v>
      </c>
      <c r="I7" s="40"/>
    </row>
    <row r="8" spans="2:9" x14ac:dyDescent="0.25">
      <c r="B8" s="5">
        <v>44111.636805555558</v>
      </c>
      <c r="C8">
        <v>0</v>
      </c>
      <c r="D8">
        <v>300</v>
      </c>
      <c r="E8" s="6">
        <v>1000</v>
      </c>
      <c r="H8">
        <v>1160</v>
      </c>
    </row>
    <row r="9" spans="2:9" x14ac:dyDescent="0.25">
      <c r="B9" s="3">
        <v>44141.35</v>
      </c>
      <c r="C9" s="1">
        <f>(B9-$B$8)*24</f>
        <v>713.1166666665813</v>
      </c>
      <c r="D9">
        <v>300</v>
      </c>
      <c r="E9" s="1">
        <f>E8*EXP(-LN(2)*(B9-B8)*24/192.96)</f>
        <v>77.177763591215012</v>
      </c>
    </row>
    <row r="10" spans="2:9" x14ac:dyDescent="0.25">
      <c r="B10" s="3">
        <v>44153.543055555558</v>
      </c>
      <c r="C10" s="1">
        <f>(B10-$B$8)*24</f>
        <v>1005.75</v>
      </c>
      <c r="D10">
        <v>300</v>
      </c>
      <c r="E10" s="1">
        <f>E9*EXP(-LN(2)*(B10-B9)*24/192.96)</f>
        <v>26.975244581410081</v>
      </c>
      <c r="H10">
        <v>58.9</v>
      </c>
      <c r="I10" s="29" t="s">
        <v>102</v>
      </c>
    </row>
    <row r="11" spans="2:9" x14ac:dyDescent="0.25">
      <c r="B11" s="3"/>
      <c r="C11" s="1"/>
      <c r="E11" s="1"/>
      <c r="I11" s="29"/>
    </row>
    <row r="12" spans="2:9" x14ac:dyDescent="0.25">
      <c r="B12" s="3"/>
      <c r="C12" s="1"/>
      <c r="E12" s="1"/>
      <c r="I12" s="29"/>
    </row>
    <row r="13" spans="2:9" x14ac:dyDescent="0.25">
      <c r="B13" s="48" t="s">
        <v>105</v>
      </c>
      <c r="C13" s="49"/>
      <c r="D13" s="49"/>
      <c r="E13" s="49"/>
      <c r="F13" s="49"/>
      <c r="G13" s="49"/>
      <c r="H13" s="49"/>
      <c r="I13" s="50"/>
    </row>
    <row r="14" spans="2:9" x14ac:dyDescent="0.25">
      <c r="B14" s="3"/>
      <c r="C14" s="1"/>
      <c r="E14" s="1"/>
      <c r="F14" s="8" t="s">
        <v>35</v>
      </c>
      <c r="I14" s="29"/>
    </row>
    <row r="15" spans="2:9" x14ac:dyDescent="0.25">
      <c r="B15" s="8"/>
      <c r="C15" s="8" t="s">
        <v>66</v>
      </c>
      <c r="D15" s="8" t="s">
        <v>23</v>
      </c>
      <c r="F15" s="8" t="s">
        <v>19</v>
      </c>
      <c r="G15" s="40"/>
      <c r="H15" s="8" t="s">
        <v>101</v>
      </c>
      <c r="I15" s="29"/>
    </row>
    <row r="16" spans="2:9" x14ac:dyDescent="0.25">
      <c r="B16" s="8" t="s">
        <v>18</v>
      </c>
      <c r="C16" s="8" t="s">
        <v>67</v>
      </c>
      <c r="D16" s="8" t="s">
        <v>24</v>
      </c>
      <c r="F16" s="8" t="s">
        <v>17</v>
      </c>
      <c r="G16" s="40"/>
      <c r="H16" s="8" t="s">
        <v>17</v>
      </c>
      <c r="I16" s="29"/>
    </row>
    <row r="17" spans="2:9" x14ac:dyDescent="0.25">
      <c r="B17" s="44">
        <v>44097.581944444442</v>
      </c>
      <c r="C17" s="1">
        <v>0</v>
      </c>
      <c r="D17" s="28">
        <v>300</v>
      </c>
      <c r="F17" s="1">
        <v>50</v>
      </c>
      <c r="I17" s="29"/>
    </row>
    <row r="18" spans="2:9" x14ac:dyDescent="0.25">
      <c r="B18" s="44">
        <v>44097.586805555555</v>
      </c>
      <c r="C18" s="1">
        <v>0</v>
      </c>
      <c r="D18" s="28">
        <v>300</v>
      </c>
      <c r="F18" s="1">
        <v>100</v>
      </c>
      <c r="I18" s="29"/>
    </row>
    <row r="19" spans="2:9" x14ac:dyDescent="0.25">
      <c r="B19" s="44">
        <v>44097.59097222222</v>
      </c>
      <c r="C19" s="1">
        <v>0</v>
      </c>
      <c r="D19" s="28">
        <v>300</v>
      </c>
      <c r="F19" s="1">
        <v>500</v>
      </c>
      <c r="I19" s="29"/>
    </row>
    <row r="20" spans="2:9" x14ac:dyDescent="0.25">
      <c r="B20" s="44">
        <v>44090.68472222222</v>
      </c>
      <c r="C20" s="1">
        <v>0</v>
      </c>
      <c r="D20" s="28">
        <v>300</v>
      </c>
      <c r="F20" s="1">
        <v>10000</v>
      </c>
      <c r="I20" s="29"/>
    </row>
    <row r="21" spans="2:9" x14ac:dyDescent="0.25">
      <c r="B21" s="44">
        <v>44112.414583333331</v>
      </c>
      <c r="C21" s="1">
        <v>355.98333333333721</v>
      </c>
      <c r="D21" s="28">
        <v>300</v>
      </c>
      <c r="F21" s="1">
        <v>46.895688293505415</v>
      </c>
      <c r="I21" s="29"/>
    </row>
    <row r="22" spans="2:9" x14ac:dyDescent="0.25">
      <c r="B22" s="44">
        <v>44112.546527777777</v>
      </c>
      <c r="C22" s="1">
        <v>359.03333333332557</v>
      </c>
      <c r="D22" s="28">
        <v>300</v>
      </c>
      <c r="F22" s="1">
        <v>93.739882974723557</v>
      </c>
      <c r="I22" s="29"/>
    </row>
    <row r="23" spans="2:9" x14ac:dyDescent="0.25">
      <c r="B23" s="44">
        <v>44112.550694444442</v>
      </c>
      <c r="C23" s="1">
        <v>359.03333333332557</v>
      </c>
      <c r="D23" s="28">
        <v>300</v>
      </c>
      <c r="F23" s="1">
        <v>468.6994148736178</v>
      </c>
      <c r="I23" s="29"/>
    </row>
    <row r="24" spans="2:9" x14ac:dyDescent="0.25">
      <c r="B24" s="44">
        <v>44102.457638888889</v>
      </c>
      <c r="C24" s="1">
        <v>282.55000000004657</v>
      </c>
      <c r="D24" s="28">
        <v>300</v>
      </c>
      <c r="F24" s="1">
        <v>9503.9737987098652</v>
      </c>
      <c r="I24" s="29"/>
    </row>
    <row r="25" spans="2:9" x14ac:dyDescent="0.25">
      <c r="B25" s="44">
        <v>44141.332638888889</v>
      </c>
      <c r="C25" s="1">
        <v>1050.016666666721</v>
      </c>
      <c r="D25" s="28">
        <v>300</v>
      </c>
      <c r="F25" s="1">
        <v>41.386726842297314</v>
      </c>
      <c r="I25" s="29"/>
    </row>
    <row r="26" spans="2:9" x14ac:dyDescent="0.25">
      <c r="B26" s="44">
        <v>44141.337500000001</v>
      </c>
      <c r="C26" s="1">
        <v>1050.016666666721</v>
      </c>
      <c r="D26" s="28">
        <v>300</v>
      </c>
      <c r="F26" s="1">
        <v>82.773453684594628</v>
      </c>
      <c r="I26" s="29"/>
    </row>
    <row r="27" spans="2:9" x14ac:dyDescent="0.25">
      <c r="B27" s="44">
        <v>44141.342361111114</v>
      </c>
      <c r="C27" s="1">
        <v>1050.033333333442</v>
      </c>
      <c r="D27" s="28">
        <v>300</v>
      </c>
      <c r="F27" s="1">
        <v>413.86602643029545</v>
      </c>
      <c r="I27" s="29"/>
    </row>
    <row r="28" spans="2:9" x14ac:dyDescent="0.25">
      <c r="B28" s="44">
        <v>44141.345833333333</v>
      </c>
      <c r="C28" s="1">
        <v>1215.8666666666977</v>
      </c>
      <c r="D28" s="28">
        <v>300</v>
      </c>
      <c r="F28" s="1">
        <v>8033.8178757538217</v>
      </c>
      <c r="I28" s="29"/>
    </row>
    <row r="29" spans="2:9" x14ac:dyDescent="0.25">
      <c r="B29" s="44">
        <v>44145.541666666664</v>
      </c>
      <c r="C29" s="1">
        <v>0</v>
      </c>
      <c r="D29" s="28">
        <v>300</v>
      </c>
      <c r="F29" s="1">
        <v>5</v>
      </c>
      <c r="I29" s="29"/>
    </row>
    <row r="30" spans="2:9" x14ac:dyDescent="0.25">
      <c r="B30" s="44">
        <v>44145.541666666664</v>
      </c>
      <c r="C30" s="1">
        <v>0</v>
      </c>
      <c r="D30" s="28">
        <v>300</v>
      </c>
      <c r="F30" s="1">
        <v>15</v>
      </c>
      <c r="I30" s="29"/>
    </row>
    <row r="31" spans="2:9" x14ac:dyDescent="0.25">
      <c r="B31" s="44">
        <v>44165.415972222225</v>
      </c>
      <c r="C31" s="1">
        <v>1628.0166666667792</v>
      </c>
      <c r="D31" s="28">
        <v>300</v>
      </c>
      <c r="F31" s="1">
        <v>37.29604589238842</v>
      </c>
      <c r="I31" s="29"/>
    </row>
    <row r="32" spans="2:9" x14ac:dyDescent="0.25">
      <c r="B32" s="44">
        <v>44165.411805555559</v>
      </c>
      <c r="C32" s="1">
        <v>1627.8000000001048</v>
      </c>
      <c r="D32" s="28">
        <v>300</v>
      </c>
      <c r="F32" s="1">
        <v>74.595001853297333</v>
      </c>
      <c r="I32" s="29"/>
    </row>
    <row r="33" spans="1:9" x14ac:dyDescent="0.25">
      <c r="B33" s="44">
        <v>44165.407638888886</v>
      </c>
      <c r="C33" s="1">
        <v>1627.5999999999767</v>
      </c>
      <c r="D33" s="28">
        <v>300</v>
      </c>
      <c r="F33" s="1">
        <v>372.98844085580839</v>
      </c>
      <c r="I33" s="29"/>
    </row>
    <row r="34" spans="1:9" x14ac:dyDescent="0.25">
      <c r="B34" s="44">
        <v>44165.401388888888</v>
      </c>
      <c r="C34" s="1">
        <v>1793.2000000000116</v>
      </c>
      <c r="D34" s="28">
        <v>300</v>
      </c>
      <c r="F34" s="1">
        <v>7240.6211396182616</v>
      </c>
      <c r="I34" s="29"/>
    </row>
    <row r="35" spans="1:9" x14ac:dyDescent="0.25">
      <c r="B35" s="44">
        <v>44165.425000000003</v>
      </c>
      <c r="C35" s="1">
        <v>477.20000000012806</v>
      </c>
      <c r="D35" s="28">
        <v>300</v>
      </c>
      <c r="F35" s="1">
        <v>4.5883236642631022</v>
      </c>
      <c r="I35" s="29"/>
    </row>
    <row r="36" spans="1:9" x14ac:dyDescent="0.25">
      <c r="B36" s="44">
        <v>44165.42083333333</v>
      </c>
      <c r="C36" s="1">
        <v>477.09999999997672</v>
      </c>
      <c r="D36" s="28">
        <v>300</v>
      </c>
      <c r="F36" s="1">
        <v>13.765218842871047</v>
      </c>
      <c r="I36" s="29"/>
    </row>
    <row r="37" spans="1:9" x14ac:dyDescent="0.25">
      <c r="B37" s="3"/>
      <c r="C37" s="1"/>
      <c r="E37" s="1"/>
      <c r="I37" s="29"/>
    </row>
    <row r="38" spans="1:9" x14ac:dyDescent="0.25">
      <c r="B38" s="3"/>
      <c r="C38" s="1"/>
      <c r="E38" s="1"/>
      <c r="I38" s="29"/>
    </row>
    <row r="39" spans="1:9" x14ac:dyDescent="0.25">
      <c r="B39" s="48" t="s">
        <v>104</v>
      </c>
      <c r="C39" s="49"/>
      <c r="D39" s="49"/>
      <c r="E39" s="49"/>
      <c r="F39" s="49"/>
      <c r="G39" s="49"/>
      <c r="H39" s="49"/>
      <c r="I39" s="50"/>
    </row>
    <row r="40" spans="1:9" x14ac:dyDescent="0.25">
      <c r="B40" s="8"/>
      <c r="C40" s="8"/>
      <c r="D40" s="8"/>
      <c r="E40" s="8" t="s">
        <v>34</v>
      </c>
      <c r="F40" s="8" t="s">
        <v>35</v>
      </c>
      <c r="G40" s="8" t="s">
        <v>37</v>
      </c>
      <c r="H40" s="43" t="s">
        <v>52</v>
      </c>
    </row>
    <row r="41" spans="1:9" x14ac:dyDescent="0.25">
      <c r="B41" s="8"/>
      <c r="C41" s="8" t="s">
        <v>66</v>
      </c>
      <c r="D41" s="8" t="s">
        <v>23</v>
      </c>
      <c r="E41" s="8" t="s">
        <v>19</v>
      </c>
      <c r="F41" s="8" t="s">
        <v>19</v>
      </c>
      <c r="G41" s="8" t="s">
        <v>19</v>
      </c>
      <c r="H41" s="8" t="s">
        <v>101</v>
      </c>
    </row>
    <row r="42" spans="1:9" x14ac:dyDescent="0.25">
      <c r="B42" s="8" t="s">
        <v>18</v>
      </c>
      <c r="C42" s="8" t="s">
        <v>67</v>
      </c>
      <c r="D42" s="8" t="s">
        <v>24</v>
      </c>
      <c r="E42" s="8" t="s">
        <v>17</v>
      </c>
      <c r="F42" s="8" t="s">
        <v>17</v>
      </c>
      <c r="G42" s="8" t="s">
        <v>17</v>
      </c>
      <c r="H42" s="8" t="s">
        <v>17</v>
      </c>
    </row>
    <row r="43" spans="1:9" x14ac:dyDescent="0.25">
      <c r="A43">
        <v>1</v>
      </c>
      <c r="B43" s="5">
        <v>44111.651388888888</v>
      </c>
      <c r="C43" s="1">
        <v>0</v>
      </c>
      <c r="D43" s="28">
        <v>300</v>
      </c>
      <c r="E43" s="6">
        <v>500</v>
      </c>
      <c r="F43" s="6">
        <v>200</v>
      </c>
      <c r="G43" s="1">
        <f>E43+F43</f>
        <v>700</v>
      </c>
      <c r="H43">
        <v>807</v>
      </c>
      <c r="I43" s="29" t="s">
        <v>99</v>
      </c>
    </row>
    <row r="44" spans="1:9" x14ac:dyDescent="0.25">
      <c r="A44">
        <v>2</v>
      </c>
      <c r="B44" s="3">
        <v>44117.317361111112</v>
      </c>
      <c r="C44" s="1">
        <f>(B44-$B$43)*24</f>
        <v>135.98333333339542</v>
      </c>
      <c r="D44" s="28">
        <v>300</v>
      </c>
      <c r="E44" s="1">
        <f>E43*EXP(-LN(2)*(B44-B43)*24/192.96)</f>
        <v>306.78015944382679</v>
      </c>
      <c r="F44" s="1">
        <f>F43*EXP(-LN(2)*(B44-B43)*24/3849.6)</f>
        <v>195.16251548472113</v>
      </c>
      <c r="G44" s="1">
        <f t="shared" ref="G44:G46" si="0">E44+F44</f>
        <v>501.94267492854794</v>
      </c>
      <c r="H44">
        <v>779</v>
      </c>
    </row>
    <row r="45" spans="1:9" x14ac:dyDescent="0.25">
      <c r="A45">
        <v>3</v>
      </c>
      <c r="B45" s="3">
        <v>44131.804861111108</v>
      </c>
      <c r="C45" s="1">
        <f t="shared" ref="C45:C49" si="1">(B45-$B$43)*24</f>
        <v>483.68333333329065</v>
      </c>
      <c r="D45" s="28">
        <v>300</v>
      </c>
      <c r="E45" s="1">
        <f t="shared" ref="E45:E46" si="2">E44*EXP(-LN(2)*(B45-B44)*24/192.96)</f>
        <v>87.981818206329777</v>
      </c>
      <c r="F45" s="1">
        <f t="shared" ref="F45:F46" si="3">F44*EXP(-LN(2)*(B45-B44)*24/3849.6)</f>
        <v>183.31882087969547</v>
      </c>
      <c r="G45" s="1">
        <f t="shared" si="0"/>
        <v>271.30063908602523</v>
      </c>
      <c r="H45">
        <v>365</v>
      </c>
    </row>
    <row r="46" spans="1:9" x14ac:dyDescent="0.25">
      <c r="A46">
        <v>4</v>
      </c>
      <c r="B46" s="3">
        <v>44141.354166666664</v>
      </c>
      <c r="C46" s="1">
        <f t="shared" si="1"/>
        <v>712.8666666666395</v>
      </c>
      <c r="D46" s="28">
        <v>300</v>
      </c>
      <c r="E46" s="1">
        <f t="shared" si="2"/>
        <v>38.623551919677624</v>
      </c>
      <c r="F46" s="1">
        <f t="shared" si="3"/>
        <v>175.90793803198639</v>
      </c>
      <c r="G46" s="1">
        <f t="shared" si="0"/>
        <v>214.53148995166401</v>
      </c>
      <c r="H46">
        <v>292</v>
      </c>
      <c r="I46" s="29" t="s">
        <v>64</v>
      </c>
    </row>
    <row r="47" spans="1:9" x14ac:dyDescent="0.25">
      <c r="A47">
        <v>5</v>
      </c>
      <c r="B47" s="3">
        <v>44144.645833333336</v>
      </c>
      <c r="C47" s="1">
        <f t="shared" si="1"/>
        <v>791.86666666675592</v>
      </c>
      <c r="D47" s="28">
        <v>3600</v>
      </c>
      <c r="E47" s="1">
        <f t="shared" ref="E47" si="4">E46*EXP(-LN(2)*(B47-B46)*24/192.96)</f>
        <v>29.080852602921425</v>
      </c>
      <c r="F47" s="1">
        <f t="shared" ref="F47" si="5">F46*EXP(-LN(2)*(B47-B46)*24/3849.6)</f>
        <v>173.42344813254078</v>
      </c>
      <c r="G47" s="1">
        <f t="shared" ref="G47" si="6">E47+F47</f>
        <v>202.50430073546221</v>
      </c>
      <c r="H47">
        <v>279</v>
      </c>
      <c r="I47" s="29" t="s">
        <v>65</v>
      </c>
    </row>
    <row r="48" spans="1:9" x14ac:dyDescent="0.25">
      <c r="A48">
        <v>6</v>
      </c>
      <c r="B48" s="3">
        <v>44153.614583333336</v>
      </c>
      <c r="C48" s="1">
        <f t="shared" si="1"/>
        <v>1007.1166666667559</v>
      </c>
      <c r="D48" s="28">
        <v>300</v>
      </c>
      <c r="E48" s="1">
        <f t="shared" ref="E48:E49" si="7">E47*EXP(-LN(2)*(B48-B47)*24/192.96)</f>
        <v>13.421569592907233</v>
      </c>
      <c r="F48" s="1">
        <f t="shared" ref="F48:F49" si="8">F47*EXP(-LN(2)*(B48-B47)*24/3849.6)</f>
        <v>166.83061653064738</v>
      </c>
      <c r="G48" s="1">
        <f t="shared" ref="G48:G49" si="9">E48+F48</f>
        <v>180.25218612355462</v>
      </c>
      <c r="H48">
        <v>245</v>
      </c>
      <c r="I48" s="29" t="s">
        <v>76</v>
      </c>
    </row>
    <row r="49" spans="1:9" x14ac:dyDescent="0.25">
      <c r="A49">
        <v>7</v>
      </c>
      <c r="B49" s="3">
        <v>44165.375</v>
      </c>
      <c r="C49" s="1">
        <f t="shared" si="1"/>
        <v>1289.3666666666977</v>
      </c>
      <c r="D49" s="28">
        <v>300</v>
      </c>
      <c r="E49" s="1">
        <f t="shared" si="7"/>
        <v>4.8693969120187139</v>
      </c>
      <c r="F49" s="1">
        <f t="shared" si="8"/>
        <v>158.56394576313016</v>
      </c>
      <c r="G49" s="1">
        <f t="shared" si="9"/>
        <v>163.43334267514888</v>
      </c>
      <c r="H49">
        <v>232</v>
      </c>
      <c r="I49" s="29" t="s">
        <v>100</v>
      </c>
    </row>
    <row r="60" spans="1:9" x14ac:dyDescent="0.25">
      <c r="E60" s="1"/>
      <c r="F60" s="1"/>
    </row>
  </sheetData>
  <mergeCells count="3">
    <mergeCell ref="B4:I4"/>
    <mergeCell ref="B39:I39"/>
    <mergeCell ref="B13:I1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workbookViewId="0">
      <selection activeCell="O24" sqref="O24"/>
    </sheetView>
  </sheetViews>
  <sheetFormatPr baseColWidth="10" defaultRowHeight="15" x14ac:dyDescent="0.25"/>
  <cols>
    <col min="3" max="3" width="14.85546875" customWidth="1"/>
  </cols>
  <sheetData>
    <row r="2" spans="2:10" x14ac:dyDescent="0.25">
      <c r="B2" s="2" t="s">
        <v>0</v>
      </c>
      <c r="C2" s="2" t="s">
        <v>7</v>
      </c>
      <c r="D2" s="2" t="s">
        <v>4</v>
      </c>
      <c r="E2" s="2" t="s">
        <v>5</v>
      </c>
      <c r="F2" s="2" t="s">
        <v>2</v>
      </c>
      <c r="G2" s="2" t="s">
        <v>3</v>
      </c>
      <c r="H2" s="2" t="s">
        <v>21</v>
      </c>
      <c r="I2" s="2" t="s">
        <v>22</v>
      </c>
      <c r="J2" s="2" t="s">
        <v>25</v>
      </c>
    </row>
    <row r="3" spans="2:10" x14ac:dyDescent="0.25">
      <c r="D3" t="s">
        <v>16</v>
      </c>
      <c r="E3" t="s">
        <v>16</v>
      </c>
      <c r="F3" t="s">
        <v>16</v>
      </c>
      <c r="G3" t="s">
        <v>16</v>
      </c>
    </row>
    <row r="4" spans="2:10" x14ac:dyDescent="0.25">
      <c r="B4" t="s">
        <v>1</v>
      </c>
      <c r="C4" t="s">
        <v>15</v>
      </c>
      <c r="D4" s="1">
        <v>42.1</v>
      </c>
      <c r="E4" s="1">
        <v>75.900000000000006</v>
      </c>
      <c r="F4">
        <f>D4+G4/2</f>
        <v>59</v>
      </c>
      <c r="G4" s="1">
        <f>E4-D4</f>
        <v>33.800000000000004</v>
      </c>
      <c r="H4">
        <v>90</v>
      </c>
      <c r="I4" s="7">
        <v>162</v>
      </c>
      <c r="J4" s="7">
        <f>I4-H4</f>
        <v>72</v>
      </c>
    </row>
    <row r="5" spans="2:10" x14ac:dyDescent="0.25">
      <c r="B5" t="s">
        <v>8</v>
      </c>
      <c r="C5" t="s">
        <v>11</v>
      </c>
      <c r="D5" s="1">
        <v>99.9</v>
      </c>
      <c r="E5" s="1">
        <v>149</v>
      </c>
      <c r="F5">
        <f t="shared" ref="F5:F8" si="0">D5+G5/2</f>
        <v>124.45</v>
      </c>
      <c r="G5" s="1">
        <f t="shared" ref="G5:G8" si="1">E5-D5</f>
        <v>49.099999999999994</v>
      </c>
      <c r="H5">
        <v>213</v>
      </c>
      <c r="I5" s="7">
        <v>318</v>
      </c>
      <c r="J5" s="7">
        <f t="shared" ref="J5:J10" si="2">I5-H5</f>
        <v>105</v>
      </c>
    </row>
    <row r="6" spans="2:10" x14ac:dyDescent="0.25">
      <c r="B6" t="s">
        <v>9</v>
      </c>
      <c r="C6" t="s">
        <v>12</v>
      </c>
      <c r="D6" s="1">
        <v>193.1</v>
      </c>
      <c r="E6" s="1">
        <v>239.1</v>
      </c>
      <c r="F6">
        <f t="shared" si="0"/>
        <v>216.1</v>
      </c>
      <c r="G6" s="1">
        <f t="shared" si="1"/>
        <v>46</v>
      </c>
      <c r="H6">
        <v>413</v>
      </c>
      <c r="I6" s="7">
        <v>511</v>
      </c>
      <c r="J6" s="7">
        <f t="shared" si="2"/>
        <v>98</v>
      </c>
    </row>
    <row r="7" spans="2:10" x14ac:dyDescent="0.25">
      <c r="B7" t="s">
        <v>10</v>
      </c>
      <c r="C7" t="s">
        <v>14</v>
      </c>
      <c r="D7" s="1">
        <v>99.9</v>
      </c>
      <c r="E7" s="1">
        <v>239.1</v>
      </c>
      <c r="F7">
        <f t="shared" si="0"/>
        <v>169.5</v>
      </c>
      <c r="G7" s="1">
        <f t="shared" si="1"/>
        <v>139.19999999999999</v>
      </c>
      <c r="H7">
        <v>213</v>
      </c>
      <c r="I7" s="7">
        <v>511</v>
      </c>
      <c r="J7" s="7">
        <f t="shared" si="2"/>
        <v>298</v>
      </c>
    </row>
    <row r="8" spans="2:10" x14ac:dyDescent="0.25">
      <c r="B8" t="s">
        <v>6</v>
      </c>
      <c r="C8" t="s">
        <v>13</v>
      </c>
      <c r="D8" s="1">
        <v>315</v>
      </c>
      <c r="E8" s="1">
        <v>425</v>
      </c>
      <c r="F8">
        <f t="shared" si="0"/>
        <v>370</v>
      </c>
      <c r="G8" s="1">
        <f t="shared" si="1"/>
        <v>110</v>
      </c>
      <c r="H8">
        <v>673</v>
      </c>
      <c r="I8" s="7">
        <v>908</v>
      </c>
      <c r="J8" s="7">
        <f t="shared" si="2"/>
        <v>235</v>
      </c>
    </row>
    <row r="9" spans="2:10" x14ac:dyDescent="0.25">
      <c r="B9" t="s">
        <v>109</v>
      </c>
      <c r="C9" t="s">
        <v>111</v>
      </c>
      <c r="D9" s="1">
        <v>499.2</v>
      </c>
      <c r="E9" s="1">
        <v>598.70000000000005</v>
      </c>
      <c r="F9">
        <f t="shared" ref="F9:F10" si="3">D9+G9/2</f>
        <v>548.95000000000005</v>
      </c>
      <c r="G9" s="1">
        <f t="shared" ref="G9:G10" si="4">E9-D9</f>
        <v>99.500000000000057</v>
      </c>
      <c r="H9">
        <v>1069</v>
      </c>
      <c r="I9" s="7">
        <v>1282</v>
      </c>
      <c r="J9" s="7">
        <f t="shared" si="2"/>
        <v>213</v>
      </c>
    </row>
    <row r="10" spans="2:10" x14ac:dyDescent="0.25">
      <c r="B10" t="s">
        <v>110</v>
      </c>
      <c r="C10" t="s">
        <v>112</v>
      </c>
      <c r="D10" s="1">
        <v>149</v>
      </c>
      <c r="E10" s="1">
        <v>193.1</v>
      </c>
      <c r="F10">
        <f t="shared" si="3"/>
        <v>171.05</v>
      </c>
      <c r="G10" s="1">
        <f t="shared" si="4"/>
        <v>44.099999999999994</v>
      </c>
      <c r="H10">
        <v>319</v>
      </c>
      <c r="I10" s="7">
        <v>412</v>
      </c>
      <c r="J10" s="7">
        <f t="shared" si="2"/>
        <v>93</v>
      </c>
    </row>
    <row r="15" spans="2:10" x14ac:dyDescent="0.25">
      <c r="B15" s="2" t="s">
        <v>116</v>
      </c>
    </row>
    <row r="18" spans="10:10" x14ac:dyDescent="0.25">
      <c r="J18" t="s">
        <v>113</v>
      </c>
    </row>
    <row r="19" spans="10:10" x14ac:dyDescent="0.25">
      <c r="J19" t="s">
        <v>114</v>
      </c>
    </row>
    <row r="20" spans="10:10" x14ac:dyDescent="0.25">
      <c r="J20" t="s">
        <v>115</v>
      </c>
    </row>
    <row r="47" spans="2:2" x14ac:dyDescent="0.25">
      <c r="B47" s="2" t="s">
        <v>117</v>
      </c>
    </row>
    <row r="50" spans="10:10" x14ac:dyDescent="0.25">
      <c r="J50" t="s">
        <v>113</v>
      </c>
    </row>
    <row r="51" spans="10:10" x14ac:dyDescent="0.25">
      <c r="J51" t="s">
        <v>114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V47" sqref="V47"/>
    </sheetView>
  </sheetViews>
  <sheetFormatPr baseColWidth="10" defaultRowHeight="15" x14ac:dyDescent="0.25"/>
  <cols>
    <col min="2" max="2" width="14.85546875" customWidth="1"/>
    <col min="3" max="3" width="13.85546875" bestFit="1" customWidth="1"/>
    <col min="4" max="7" width="7" bestFit="1" customWidth="1"/>
    <col min="8" max="8" width="9.5703125" bestFit="1" customWidth="1"/>
    <col min="9" max="9" width="8.85546875" bestFit="1" customWidth="1"/>
    <col min="10" max="10" width="8.42578125" bestFit="1" customWidth="1"/>
  </cols>
  <sheetData>
    <row r="1" spans="1:20" x14ac:dyDescent="0.25">
      <c r="D1" s="1"/>
      <c r="E1" s="1"/>
      <c r="G1" s="1"/>
      <c r="I1" s="7"/>
      <c r="J1" s="7"/>
    </row>
    <row r="3" spans="1:20" x14ac:dyDescent="0.25">
      <c r="B3" s="8"/>
      <c r="C3" s="51" t="s">
        <v>106</v>
      </c>
      <c r="D3" s="51"/>
      <c r="E3" s="51"/>
      <c r="F3" s="51"/>
      <c r="G3" s="51"/>
      <c r="H3" s="11" t="s">
        <v>23</v>
      </c>
      <c r="I3" s="52" t="s">
        <v>107</v>
      </c>
      <c r="J3" s="53"/>
      <c r="K3" s="53"/>
      <c r="L3" s="53"/>
      <c r="M3" s="53"/>
      <c r="N3" s="54" t="s">
        <v>108</v>
      </c>
      <c r="O3" s="54"/>
      <c r="P3" s="54"/>
      <c r="Q3" s="54"/>
      <c r="R3" s="54"/>
    </row>
    <row r="4" spans="1:20" x14ac:dyDescent="0.25">
      <c r="B4" s="8" t="s">
        <v>19</v>
      </c>
      <c r="C4" s="8" t="s">
        <v>1</v>
      </c>
      <c r="D4" s="8" t="s">
        <v>8</v>
      </c>
      <c r="E4" s="8" t="s">
        <v>9</v>
      </c>
      <c r="F4" s="8" t="s">
        <v>10</v>
      </c>
      <c r="G4" s="8" t="s">
        <v>6</v>
      </c>
      <c r="I4" s="8" t="s">
        <v>1</v>
      </c>
      <c r="J4" s="8" t="s">
        <v>8</v>
      </c>
      <c r="K4" s="8" t="s">
        <v>9</v>
      </c>
      <c r="L4" s="8" t="s">
        <v>10</v>
      </c>
      <c r="M4" s="8" t="s">
        <v>6</v>
      </c>
      <c r="N4" s="8" t="s">
        <v>30</v>
      </c>
      <c r="O4" s="8" t="s">
        <v>26</v>
      </c>
      <c r="P4" s="8" t="s">
        <v>27</v>
      </c>
      <c r="Q4" s="8" t="s">
        <v>28</v>
      </c>
      <c r="R4" s="8" t="s">
        <v>29</v>
      </c>
    </row>
    <row r="5" spans="1:20" x14ac:dyDescent="0.25">
      <c r="B5" s="8" t="s">
        <v>17</v>
      </c>
      <c r="C5" s="8" t="s">
        <v>33</v>
      </c>
      <c r="D5" s="8" t="s">
        <v>33</v>
      </c>
      <c r="E5" s="8" t="s">
        <v>33</v>
      </c>
      <c r="F5" s="8" t="s">
        <v>33</v>
      </c>
      <c r="G5" s="8" t="s">
        <v>33</v>
      </c>
      <c r="H5" s="8" t="s">
        <v>24</v>
      </c>
      <c r="I5" s="8" t="s">
        <v>32</v>
      </c>
      <c r="J5" s="8" t="s">
        <v>32</v>
      </c>
      <c r="K5" s="8" t="s">
        <v>32</v>
      </c>
      <c r="L5" s="8" t="s">
        <v>32</v>
      </c>
      <c r="M5" s="8" t="s">
        <v>32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</row>
    <row r="6" spans="1:20" x14ac:dyDescent="0.25">
      <c r="B6" s="8" t="s">
        <v>36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T6" s="12" t="s">
        <v>38</v>
      </c>
    </row>
    <row r="7" spans="1:20" x14ac:dyDescent="0.25">
      <c r="A7">
        <v>1</v>
      </c>
      <c r="B7" s="10">
        <v>700</v>
      </c>
      <c r="C7" s="10">
        <v>5166</v>
      </c>
      <c r="D7" s="10">
        <v>6416</v>
      </c>
      <c r="E7" s="10">
        <v>5682</v>
      </c>
      <c r="F7" s="10">
        <v>17796</v>
      </c>
      <c r="G7" s="10">
        <v>12804</v>
      </c>
      <c r="H7" s="10">
        <v>300</v>
      </c>
      <c r="I7" s="9">
        <f>C7/$H$7</f>
        <v>17.22</v>
      </c>
      <c r="J7" s="9">
        <f t="shared" ref="J7:L7" si="0">D7/$H$7</f>
        <v>21.386666666666667</v>
      </c>
      <c r="K7" s="9">
        <f t="shared" si="0"/>
        <v>18.940000000000001</v>
      </c>
      <c r="L7" s="9">
        <f t="shared" si="0"/>
        <v>59.32</v>
      </c>
      <c r="M7" s="9">
        <f>G7/$H$7</f>
        <v>42.68</v>
      </c>
      <c r="N7" s="9">
        <f>$B$7/I7</f>
        <v>40.650406504065046</v>
      </c>
      <c r="O7" s="9">
        <f t="shared" ref="O7:Q7" si="1">$B$7/J7</f>
        <v>32.730673316708227</v>
      </c>
      <c r="P7" s="9">
        <f t="shared" si="1"/>
        <v>36.958817317845828</v>
      </c>
      <c r="Q7" s="9">
        <f t="shared" si="1"/>
        <v>11.800404585300067</v>
      </c>
      <c r="R7" s="9">
        <f>$B$7/M7</f>
        <v>16.401124648547331</v>
      </c>
      <c r="S7" s="9"/>
    </row>
    <row r="8" spans="1:20" x14ac:dyDescent="0.25">
      <c r="A8">
        <v>2</v>
      </c>
      <c r="B8">
        <v>501.9</v>
      </c>
      <c r="C8">
        <v>4609</v>
      </c>
      <c r="D8">
        <v>5243</v>
      </c>
      <c r="E8">
        <v>4998</v>
      </c>
      <c r="F8">
        <v>14791</v>
      </c>
      <c r="G8">
        <v>9655</v>
      </c>
      <c r="H8">
        <v>300</v>
      </c>
      <c r="I8" s="9">
        <f>C8/$H$8</f>
        <v>15.363333333333333</v>
      </c>
      <c r="J8" s="9">
        <f t="shared" ref="J8:M8" si="2">D8/$H$8</f>
        <v>17.476666666666667</v>
      </c>
      <c r="K8" s="9">
        <f t="shared" si="2"/>
        <v>16.66</v>
      </c>
      <c r="L8" s="9">
        <f t="shared" si="2"/>
        <v>49.303333333333335</v>
      </c>
      <c r="M8" s="9">
        <f t="shared" si="2"/>
        <v>32.18333333333333</v>
      </c>
      <c r="N8" s="9">
        <f>$B$8/I8</f>
        <v>32.6686916901714</v>
      </c>
      <c r="O8" s="9">
        <f t="shared" ref="O8:R8" si="3">$B$8/J8</f>
        <v>28.718291054739652</v>
      </c>
      <c r="P8" s="9">
        <f t="shared" si="3"/>
        <v>30.126050420168067</v>
      </c>
      <c r="Q8" s="9">
        <f t="shared" si="3"/>
        <v>10.179839091339327</v>
      </c>
      <c r="R8" s="9">
        <f t="shared" si="3"/>
        <v>15.595028482651477</v>
      </c>
      <c r="S8" s="9"/>
    </row>
    <row r="9" spans="1:20" x14ac:dyDescent="0.25">
      <c r="A9">
        <v>3</v>
      </c>
      <c r="B9">
        <v>271.3</v>
      </c>
      <c r="C9">
        <v>3979</v>
      </c>
      <c r="D9">
        <v>4097</v>
      </c>
      <c r="E9">
        <v>3969</v>
      </c>
      <c r="F9">
        <v>11359</v>
      </c>
      <c r="G9">
        <v>5680</v>
      </c>
      <c r="H9">
        <v>300</v>
      </c>
      <c r="I9" s="9">
        <f>C9/$H$9</f>
        <v>13.263333333333334</v>
      </c>
      <c r="J9" s="9">
        <f t="shared" ref="J9:L9" si="4">D9/$H$9</f>
        <v>13.656666666666666</v>
      </c>
      <c r="K9" s="9">
        <f t="shared" si="4"/>
        <v>13.23</v>
      </c>
      <c r="L9" s="9">
        <f t="shared" si="4"/>
        <v>37.863333333333337</v>
      </c>
      <c r="M9" s="9">
        <f>G9/$H$9</f>
        <v>18.933333333333334</v>
      </c>
      <c r="N9" s="9">
        <f>$B$9/I9</f>
        <v>20.454888162854989</v>
      </c>
      <c r="O9" s="9">
        <f t="shared" ref="O9:Q9" si="5">$B$9/J9</f>
        <v>19.865755430803027</v>
      </c>
      <c r="P9" s="9">
        <f t="shared" si="5"/>
        <v>20.506424792139079</v>
      </c>
      <c r="Q9" s="9">
        <f t="shared" si="5"/>
        <v>7.1652434193150798</v>
      </c>
      <c r="R9" s="9">
        <f>$B$9/M9</f>
        <v>14.329225352112676</v>
      </c>
      <c r="S9" s="9"/>
    </row>
    <row r="10" spans="1:20" x14ac:dyDescent="0.25">
      <c r="A10">
        <v>4</v>
      </c>
      <c r="B10">
        <v>214.5</v>
      </c>
      <c r="C10">
        <v>3724</v>
      </c>
      <c r="D10">
        <v>3744</v>
      </c>
      <c r="E10">
        <v>3651</v>
      </c>
      <c r="F10">
        <v>10223</v>
      </c>
      <c r="G10">
        <v>4557</v>
      </c>
      <c r="H10">
        <v>300</v>
      </c>
      <c r="I10" s="9">
        <f>C10/$H$10</f>
        <v>12.413333333333334</v>
      </c>
      <c r="J10" s="9">
        <f t="shared" ref="J10:M10" si="6">D10/$H$10</f>
        <v>12.48</v>
      </c>
      <c r="K10" s="9">
        <f t="shared" si="6"/>
        <v>12.17</v>
      </c>
      <c r="L10" s="9">
        <f t="shared" si="6"/>
        <v>34.076666666666668</v>
      </c>
      <c r="M10" s="9">
        <f t="shared" si="6"/>
        <v>15.19</v>
      </c>
      <c r="N10" s="9">
        <f>$B$10/I10</f>
        <v>17.279806659505908</v>
      </c>
      <c r="O10" s="9">
        <f t="shared" ref="O10:R10" si="7">$B$10/J10</f>
        <v>17.1875</v>
      </c>
      <c r="P10" s="9">
        <f t="shared" si="7"/>
        <v>17.625308134757599</v>
      </c>
      <c r="Q10" s="9">
        <f t="shared" si="7"/>
        <v>6.2946297564315756</v>
      </c>
      <c r="R10" s="9">
        <f t="shared" si="7"/>
        <v>14.121132323897301</v>
      </c>
      <c r="S10" s="9"/>
    </row>
    <row r="11" spans="1:20" x14ac:dyDescent="0.25">
      <c r="A11">
        <v>5</v>
      </c>
      <c r="B11">
        <v>202.5</v>
      </c>
      <c r="C11">
        <v>45174</v>
      </c>
      <c r="D11">
        <v>46307</v>
      </c>
      <c r="E11">
        <v>42947</v>
      </c>
      <c r="F11">
        <v>123659</v>
      </c>
      <c r="G11">
        <v>52451</v>
      </c>
      <c r="H11">
        <v>3600</v>
      </c>
      <c r="I11" s="9">
        <f>C11/$H$11</f>
        <v>12.548333333333334</v>
      </c>
      <c r="J11" s="9">
        <f t="shared" ref="J11:M11" si="8">D11/$H$11</f>
        <v>12.863055555555556</v>
      </c>
      <c r="K11" s="9">
        <f t="shared" si="8"/>
        <v>11.929722222222223</v>
      </c>
      <c r="L11" s="9">
        <f t="shared" si="8"/>
        <v>34.349722222222219</v>
      </c>
      <c r="M11" s="9">
        <f t="shared" si="8"/>
        <v>14.569722222222222</v>
      </c>
      <c r="N11" s="9">
        <f>$B$11/I11</f>
        <v>16.137601275069731</v>
      </c>
      <c r="O11" s="9">
        <f t="shared" ref="O11:R11" si="9">$B$11/J11</f>
        <v>15.742760273824691</v>
      </c>
      <c r="P11" s="9">
        <f t="shared" si="9"/>
        <v>16.974410319696368</v>
      </c>
      <c r="Q11" s="9">
        <f t="shared" si="9"/>
        <v>5.8952441795583024</v>
      </c>
      <c r="R11" s="9">
        <f t="shared" si="9"/>
        <v>13.898686393014433</v>
      </c>
      <c r="S11" s="9"/>
    </row>
    <row r="12" spans="1:20" x14ac:dyDescent="0.25">
      <c r="A12">
        <v>6</v>
      </c>
      <c r="B12">
        <v>180.3</v>
      </c>
      <c r="C12">
        <v>3615</v>
      </c>
      <c r="D12">
        <v>3509</v>
      </c>
      <c r="E12">
        <v>3375</v>
      </c>
      <c r="F12">
        <v>9551</v>
      </c>
      <c r="G12">
        <v>3832</v>
      </c>
      <c r="H12">
        <v>300</v>
      </c>
      <c r="I12" s="9">
        <f>C12/$H$12</f>
        <v>12.05</v>
      </c>
      <c r="J12" s="9">
        <f t="shared" ref="J12:M12" si="10">D12/$H$12</f>
        <v>11.696666666666667</v>
      </c>
      <c r="K12" s="9">
        <f>E12/$H$12</f>
        <v>11.25</v>
      </c>
      <c r="L12" s="9">
        <f t="shared" si="10"/>
        <v>31.836666666666666</v>
      </c>
      <c r="M12" s="9">
        <f t="shared" si="10"/>
        <v>12.773333333333333</v>
      </c>
      <c r="N12" s="9">
        <f>$B$12/I12</f>
        <v>14.962655601659751</v>
      </c>
      <c r="O12" s="9">
        <f t="shared" ref="O12:R12" si="11">$B$12/J12</f>
        <v>15.414648047876888</v>
      </c>
      <c r="P12" s="9">
        <f t="shared" si="11"/>
        <v>16.026666666666667</v>
      </c>
      <c r="Q12" s="9">
        <f t="shared" si="11"/>
        <v>5.6632813317977178</v>
      </c>
      <c r="R12" s="9">
        <f t="shared" si="11"/>
        <v>14.11534446764092</v>
      </c>
      <c r="S12" s="9"/>
    </row>
    <row r="13" spans="1:20" x14ac:dyDescent="0.25">
      <c r="A13">
        <v>7</v>
      </c>
      <c r="B13">
        <v>163.4</v>
      </c>
      <c r="C13">
        <v>3339</v>
      </c>
      <c r="D13">
        <v>3412</v>
      </c>
      <c r="E13">
        <v>3090</v>
      </c>
      <c r="F13">
        <v>9030</v>
      </c>
      <c r="G13">
        <v>3642</v>
      </c>
      <c r="H13">
        <v>300</v>
      </c>
      <c r="I13" s="9">
        <f>C13/$H$13</f>
        <v>11.13</v>
      </c>
      <c r="J13" s="9">
        <f t="shared" ref="J13:M13" si="12">D13/$H$13</f>
        <v>11.373333333333333</v>
      </c>
      <c r="K13" s="9">
        <f t="shared" si="12"/>
        <v>10.3</v>
      </c>
      <c r="L13" s="9">
        <f t="shared" si="12"/>
        <v>30.1</v>
      </c>
      <c r="M13" s="9">
        <f t="shared" si="12"/>
        <v>12.14</v>
      </c>
      <c r="N13" s="9">
        <f>$B$13/I13</f>
        <v>14.681042228212039</v>
      </c>
      <c r="O13" s="9">
        <f t="shared" ref="O13:R13" si="13">$B$13/J13</f>
        <v>14.36694021101993</v>
      </c>
      <c r="P13" s="9">
        <f t="shared" si="13"/>
        <v>15.864077669902912</v>
      </c>
      <c r="Q13" s="9">
        <f t="shared" si="13"/>
        <v>5.4285714285714288</v>
      </c>
      <c r="R13" s="9">
        <f t="shared" si="13"/>
        <v>13.459637561779243</v>
      </c>
      <c r="S13" s="9"/>
    </row>
    <row r="15" spans="1:20" x14ac:dyDescent="0.25">
      <c r="B15" s="8" t="s">
        <v>34</v>
      </c>
    </row>
    <row r="16" spans="1:20" x14ac:dyDescent="0.25">
      <c r="A16">
        <v>1</v>
      </c>
      <c r="B16" s="10">
        <v>500</v>
      </c>
      <c r="C16" s="10">
        <v>5166</v>
      </c>
      <c r="D16" s="10">
        <v>6416</v>
      </c>
      <c r="E16" s="10">
        <v>5682</v>
      </c>
      <c r="F16" s="10">
        <v>17796</v>
      </c>
      <c r="G16" s="10">
        <v>12804</v>
      </c>
      <c r="H16" s="10">
        <v>300</v>
      </c>
      <c r="I16" s="9">
        <f>C16/$H$16</f>
        <v>17.22</v>
      </c>
      <c r="J16" s="9">
        <f t="shared" ref="J16:M16" si="14">D16/$H$16</f>
        <v>21.386666666666667</v>
      </c>
      <c r="K16" s="9">
        <f t="shared" si="14"/>
        <v>18.940000000000001</v>
      </c>
      <c r="L16" s="9">
        <f t="shared" si="14"/>
        <v>59.32</v>
      </c>
      <c r="M16" s="9">
        <f t="shared" si="14"/>
        <v>42.68</v>
      </c>
      <c r="N16" s="9">
        <f>$B$16/I16</f>
        <v>29.036004645760745</v>
      </c>
      <c r="O16" s="9">
        <f t="shared" ref="O16:R16" si="15">$B$16/J16</f>
        <v>23.379052369077307</v>
      </c>
      <c r="P16" s="9">
        <f t="shared" si="15"/>
        <v>26.399155227032733</v>
      </c>
      <c r="Q16" s="9">
        <f t="shared" si="15"/>
        <v>8.4288604180714763</v>
      </c>
      <c r="R16" s="9">
        <f t="shared" si="15"/>
        <v>11.715089034676664</v>
      </c>
    </row>
    <row r="17" spans="1:22" x14ac:dyDescent="0.25">
      <c r="A17">
        <v>2</v>
      </c>
      <c r="B17">
        <v>306.8</v>
      </c>
      <c r="C17">
        <v>4609</v>
      </c>
      <c r="D17">
        <v>5243</v>
      </c>
      <c r="E17">
        <v>4998</v>
      </c>
      <c r="F17">
        <v>14791</v>
      </c>
      <c r="G17">
        <v>9655</v>
      </c>
      <c r="H17">
        <v>300</v>
      </c>
      <c r="I17" s="9">
        <f>C17/$H$17</f>
        <v>15.363333333333333</v>
      </c>
      <c r="J17" s="9">
        <f t="shared" ref="J17:M17" si="16">D17/$H$17</f>
        <v>17.476666666666667</v>
      </c>
      <c r="K17" s="9">
        <f t="shared" si="16"/>
        <v>16.66</v>
      </c>
      <c r="L17" s="9">
        <f t="shared" si="16"/>
        <v>49.303333333333335</v>
      </c>
      <c r="M17" s="9">
        <f t="shared" si="16"/>
        <v>32.18333333333333</v>
      </c>
      <c r="N17" s="9">
        <f>$B$17/I17</f>
        <v>19.969624647428944</v>
      </c>
      <c r="O17" s="9">
        <f t="shared" ref="O17:R17" si="17">$B$17/J17</f>
        <v>17.554835018119398</v>
      </c>
      <c r="P17" s="9">
        <f t="shared" si="17"/>
        <v>18.415366146458584</v>
      </c>
      <c r="Q17" s="9">
        <f t="shared" si="17"/>
        <v>6.2227029950645667</v>
      </c>
      <c r="R17" s="9">
        <f t="shared" si="17"/>
        <v>9.532884515794926</v>
      </c>
    </row>
    <row r="18" spans="1:22" x14ac:dyDescent="0.25">
      <c r="A18">
        <v>3</v>
      </c>
      <c r="B18">
        <v>88</v>
      </c>
      <c r="C18">
        <v>3979</v>
      </c>
      <c r="D18">
        <v>4097</v>
      </c>
      <c r="E18">
        <v>3969</v>
      </c>
      <c r="F18">
        <v>11359</v>
      </c>
      <c r="G18">
        <v>5680</v>
      </c>
      <c r="H18">
        <v>300</v>
      </c>
      <c r="I18" s="9">
        <f>C18/$H$18</f>
        <v>13.263333333333334</v>
      </c>
      <c r="J18" s="9">
        <f t="shared" ref="J18:M18" si="18">D18/$H$18</f>
        <v>13.656666666666666</v>
      </c>
      <c r="K18" s="9">
        <f t="shared" si="18"/>
        <v>13.23</v>
      </c>
      <c r="L18" s="9">
        <f t="shared" si="18"/>
        <v>37.863333333333337</v>
      </c>
      <c r="M18" s="9">
        <f t="shared" si="18"/>
        <v>18.933333333333334</v>
      </c>
      <c r="N18" s="9">
        <f>$B$18/I18</f>
        <v>6.6348328725810504</v>
      </c>
      <c r="O18" s="9">
        <f t="shared" ref="O18:R18" si="19">$B$18/J18</f>
        <v>6.4437393214547232</v>
      </c>
      <c r="P18" s="9">
        <f t="shared" si="19"/>
        <v>6.6515495086923657</v>
      </c>
      <c r="Q18" s="9">
        <f t="shared" si="19"/>
        <v>2.3241482524870145</v>
      </c>
      <c r="R18" s="9">
        <f t="shared" si="19"/>
        <v>4.647887323943662</v>
      </c>
    </row>
    <row r="19" spans="1:22" x14ac:dyDescent="0.25">
      <c r="A19">
        <v>4</v>
      </c>
      <c r="B19">
        <v>38.6</v>
      </c>
      <c r="C19">
        <v>3724</v>
      </c>
      <c r="D19">
        <v>3744</v>
      </c>
      <c r="E19">
        <v>3651</v>
      </c>
      <c r="F19">
        <v>10223</v>
      </c>
      <c r="G19">
        <v>4557</v>
      </c>
      <c r="H19">
        <v>300</v>
      </c>
      <c r="I19" s="9">
        <f>C19/$H$19</f>
        <v>12.413333333333334</v>
      </c>
      <c r="J19" s="9">
        <f t="shared" ref="J19:M19" si="20">D19/$H$19</f>
        <v>12.48</v>
      </c>
      <c r="K19" s="9">
        <f t="shared" si="20"/>
        <v>12.17</v>
      </c>
      <c r="L19" s="9">
        <f t="shared" si="20"/>
        <v>34.076666666666668</v>
      </c>
      <c r="M19" s="9">
        <f t="shared" si="20"/>
        <v>15.19</v>
      </c>
      <c r="N19" s="9">
        <f>$B$19/I19</f>
        <v>3.109559613319012</v>
      </c>
      <c r="O19" s="9">
        <f t="shared" ref="O19:R19" si="21">$B$19/J19</f>
        <v>3.0929487179487181</v>
      </c>
      <c r="P19" s="9">
        <f t="shared" si="21"/>
        <v>3.1717337715694334</v>
      </c>
      <c r="Q19" s="9">
        <f t="shared" si="21"/>
        <v>1.1327399002249829</v>
      </c>
      <c r="R19" s="9">
        <f t="shared" si="21"/>
        <v>2.5411454904542463</v>
      </c>
    </row>
    <row r="20" spans="1:22" x14ac:dyDescent="0.25">
      <c r="A20">
        <v>5</v>
      </c>
      <c r="B20">
        <v>29.1</v>
      </c>
      <c r="C20">
        <v>45174</v>
      </c>
      <c r="D20">
        <v>46307</v>
      </c>
      <c r="E20">
        <v>42947</v>
      </c>
      <c r="F20">
        <v>123659</v>
      </c>
      <c r="G20">
        <v>52451</v>
      </c>
      <c r="H20">
        <v>3600</v>
      </c>
      <c r="I20" s="9">
        <f>C20/$H$20</f>
        <v>12.548333333333334</v>
      </c>
      <c r="J20" s="9">
        <f t="shared" ref="J20:M20" si="22">D20/$H$20</f>
        <v>12.863055555555556</v>
      </c>
      <c r="K20" s="9">
        <f t="shared" si="22"/>
        <v>11.929722222222223</v>
      </c>
      <c r="L20" s="9">
        <f t="shared" si="22"/>
        <v>34.349722222222219</v>
      </c>
      <c r="M20" s="9">
        <f t="shared" si="22"/>
        <v>14.569722222222222</v>
      </c>
      <c r="N20" s="9">
        <f>$B$20/I20</f>
        <v>2.3190330721211319</v>
      </c>
      <c r="O20" s="9">
        <f t="shared" ref="O20:R20" si="23">$B$20/J20</f>
        <v>2.2622929578681408</v>
      </c>
      <c r="P20" s="9">
        <f t="shared" si="23"/>
        <v>2.4392856311267375</v>
      </c>
      <c r="Q20" s="9">
        <f t="shared" si="23"/>
        <v>0.84716842284023008</v>
      </c>
      <c r="R20" s="9">
        <f t="shared" si="23"/>
        <v>1.9972927112924446</v>
      </c>
    </row>
    <row r="21" spans="1:22" x14ac:dyDescent="0.25">
      <c r="A21">
        <v>6</v>
      </c>
      <c r="B21">
        <v>13.4</v>
      </c>
      <c r="C21">
        <v>3615</v>
      </c>
      <c r="D21">
        <v>3509</v>
      </c>
      <c r="E21">
        <v>3375</v>
      </c>
      <c r="F21">
        <v>9551</v>
      </c>
      <c r="G21">
        <v>3832</v>
      </c>
      <c r="H21">
        <v>300</v>
      </c>
      <c r="I21" s="9">
        <f>C21/$H$21</f>
        <v>12.05</v>
      </c>
      <c r="J21" s="9">
        <f t="shared" ref="J21:M21" si="24">D21/$H$21</f>
        <v>11.696666666666667</v>
      </c>
      <c r="K21" s="9">
        <f t="shared" si="24"/>
        <v>11.25</v>
      </c>
      <c r="L21" s="9">
        <f t="shared" si="24"/>
        <v>31.836666666666666</v>
      </c>
      <c r="M21" s="9">
        <f t="shared" si="24"/>
        <v>12.773333333333333</v>
      </c>
      <c r="N21" s="9">
        <f>$B$21/I21</f>
        <v>1.1120331950207469</v>
      </c>
      <c r="O21" s="9">
        <f t="shared" ref="O21:R21" si="25">$B$21/J21</f>
        <v>1.1456255343402679</v>
      </c>
      <c r="P21" s="9">
        <f t="shared" si="25"/>
        <v>1.1911111111111112</v>
      </c>
      <c r="Q21" s="9">
        <f t="shared" si="25"/>
        <v>0.42089833525285314</v>
      </c>
      <c r="R21" s="9">
        <f t="shared" si="25"/>
        <v>1.0490605427974948</v>
      </c>
    </row>
    <row r="22" spans="1:22" x14ac:dyDescent="0.25">
      <c r="A22">
        <v>7</v>
      </c>
      <c r="B22">
        <v>4.9000000000000004</v>
      </c>
      <c r="C22">
        <v>3339</v>
      </c>
      <c r="D22">
        <v>3412</v>
      </c>
      <c r="E22">
        <v>3090</v>
      </c>
      <c r="F22">
        <v>9030</v>
      </c>
      <c r="G22">
        <v>3642</v>
      </c>
      <c r="H22">
        <v>300</v>
      </c>
      <c r="I22" s="9">
        <f>C22/$H$22</f>
        <v>11.13</v>
      </c>
      <c r="J22" s="9">
        <f t="shared" ref="J22:M22" si="26">D22/$H$22</f>
        <v>11.373333333333333</v>
      </c>
      <c r="K22" s="9">
        <f t="shared" si="26"/>
        <v>10.3</v>
      </c>
      <c r="L22" s="9">
        <f t="shared" si="26"/>
        <v>30.1</v>
      </c>
      <c r="M22" s="9">
        <f t="shared" si="26"/>
        <v>12.14</v>
      </c>
      <c r="N22" s="9">
        <f>$B$22/I22</f>
        <v>0.44025157232704404</v>
      </c>
      <c r="O22" s="9">
        <f t="shared" ref="O22:R22" si="27">$B$22/J22</f>
        <v>0.43083235638921458</v>
      </c>
      <c r="P22" s="9">
        <f t="shared" si="27"/>
        <v>0.47572815533980584</v>
      </c>
      <c r="Q22" s="9">
        <f t="shared" si="27"/>
        <v>0.16279069767441862</v>
      </c>
      <c r="R22" s="9">
        <f t="shared" si="27"/>
        <v>0.40362438220757829</v>
      </c>
    </row>
    <row r="24" spans="1:22" x14ac:dyDescent="0.25">
      <c r="B24" s="8" t="s">
        <v>35</v>
      </c>
    </row>
    <row r="25" spans="1:22" x14ac:dyDescent="0.25">
      <c r="A25">
        <v>1</v>
      </c>
      <c r="B25" s="10">
        <v>200</v>
      </c>
      <c r="C25" s="10">
        <v>5166</v>
      </c>
      <c r="D25" s="10">
        <v>6416</v>
      </c>
      <c r="E25" s="10">
        <v>5682</v>
      </c>
      <c r="F25" s="10">
        <v>17796</v>
      </c>
      <c r="G25" s="10">
        <v>12804</v>
      </c>
      <c r="H25" s="10">
        <v>300</v>
      </c>
      <c r="I25" s="9">
        <f>C25/$H$25</f>
        <v>17.22</v>
      </c>
      <c r="J25" s="9">
        <f t="shared" ref="J25:M25" si="28">D25/$H$25</f>
        <v>21.386666666666667</v>
      </c>
      <c r="K25" s="9">
        <f t="shared" si="28"/>
        <v>18.940000000000001</v>
      </c>
      <c r="L25" s="9">
        <f t="shared" si="28"/>
        <v>59.32</v>
      </c>
      <c r="M25" s="9">
        <f t="shared" si="28"/>
        <v>42.68</v>
      </c>
      <c r="N25" s="9">
        <f>$B$25/I25</f>
        <v>11.614401858304298</v>
      </c>
      <c r="O25" s="9">
        <f t="shared" ref="O25:R25" si="29">$B$25/J25</f>
        <v>9.3516209476309236</v>
      </c>
      <c r="P25" s="9">
        <f t="shared" si="29"/>
        <v>10.559662090813093</v>
      </c>
      <c r="Q25" s="9">
        <f t="shared" si="29"/>
        <v>3.3715441672285906</v>
      </c>
      <c r="R25" s="9">
        <f t="shared" si="29"/>
        <v>4.6860356138706658</v>
      </c>
      <c r="T25" s="9"/>
      <c r="V25" s="9"/>
    </row>
    <row r="26" spans="1:22" x14ac:dyDescent="0.25">
      <c r="A26">
        <v>2</v>
      </c>
      <c r="B26">
        <v>195.2</v>
      </c>
      <c r="C26">
        <v>4609</v>
      </c>
      <c r="D26">
        <v>5243</v>
      </c>
      <c r="E26">
        <v>4998</v>
      </c>
      <c r="F26">
        <v>14791</v>
      </c>
      <c r="G26">
        <v>9655</v>
      </c>
      <c r="H26">
        <v>300</v>
      </c>
      <c r="I26" s="9">
        <f>C26/$H$26</f>
        <v>15.363333333333333</v>
      </c>
      <c r="J26" s="9">
        <f t="shared" ref="J26:M26" si="30">D26/$H$26</f>
        <v>17.476666666666667</v>
      </c>
      <c r="K26" s="9">
        <f t="shared" si="30"/>
        <v>16.66</v>
      </c>
      <c r="L26" s="9">
        <f t="shared" si="30"/>
        <v>49.303333333333335</v>
      </c>
      <c r="M26" s="9">
        <f t="shared" si="30"/>
        <v>32.18333333333333</v>
      </c>
      <c r="N26" s="9">
        <f>$B$26/I26</f>
        <v>12.705576046864829</v>
      </c>
      <c r="O26" s="9">
        <f t="shared" ref="O26:R26" si="31">$B$26/J26</f>
        <v>11.169177951554452</v>
      </c>
      <c r="P26" s="9">
        <f t="shared" si="31"/>
        <v>11.716686674669868</v>
      </c>
      <c r="Q26" s="9">
        <f t="shared" si="31"/>
        <v>3.9591643567034005</v>
      </c>
      <c r="R26" s="9">
        <f t="shared" si="31"/>
        <v>6.0652511651993786</v>
      </c>
      <c r="T26" s="9"/>
      <c r="V26" s="9"/>
    </row>
    <row r="27" spans="1:22" x14ac:dyDescent="0.25">
      <c r="A27">
        <v>3</v>
      </c>
      <c r="B27">
        <v>183.3</v>
      </c>
      <c r="C27">
        <v>3979</v>
      </c>
      <c r="D27">
        <v>4097</v>
      </c>
      <c r="E27">
        <v>3969</v>
      </c>
      <c r="F27">
        <v>11359</v>
      </c>
      <c r="G27">
        <v>5680</v>
      </c>
      <c r="H27">
        <v>300</v>
      </c>
      <c r="I27" s="9">
        <f>C27/$H$27</f>
        <v>13.263333333333334</v>
      </c>
      <c r="J27" s="9">
        <f t="shared" ref="J27:M27" si="32">D27/$H$27</f>
        <v>13.656666666666666</v>
      </c>
      <c r="K27" s="9">
        <f t="shared" si="32"/>
        <v>13.23</v>
      </c>
      <c r="L27" s="9">
        <f t="shared" si="32"/>
        <v>37.863333333333337</v>
      </c>
      <c r="M27" s="9">
        <f t="shared" si="32"/>
        <v>18.933333333333334</v>
      </c>
      <c r="N27" s="9">
        <f>$B$27/I27</f>
        <v>13.820055290273938</v>
      </c>
      <c r="O27" s="9">
        <f t="shared" ref="O27:R27" si="33">$B$27/J27</f>
        <v>13.422016109348306</v>
      </c>
      <c r="P27" s="9">
        <f t="shared" si="33"/>
        <v>13.854875283446713</v>
      </c>
      <c r="Q27" s="9">
        <f t="shared" si="33"/>
        <v>4.8410951668280653</v>
      </c>
      <c r="R27" s="9">
        <f t="shared" si="33"/>
        <v>9.681338028169014</v>
      </c>
      <c r="T27" s="9"/>
      <c r="V27" s="9"/>
    </row>
    <row r="28" spans="1:22" x14ac:dyDescent="0.25">
      <c r="A28">
        <v>4</v>
      </c>
      <c r="B28">
        <v>175.9</v>
      </c>
      <c r="C28">
        <v>3724</v>
      </c>
      <c r="D28">
        <v>3744</v>
      </c>
      <c r="E28">
        <v>3651</v>
      </c>
      <c r="F28">
        <v>10223</v>
      </c>
      <c r="G28">
        <v>4557</v>
      </c>
      <c r="H28">
        <v>300</v>
      </c>
      <c r="I28" s="9">
        <f>C28/$H$28</f>
        <v>12.413333333333334</v>
      </c>
      <c r="J28" s="9">
        <f t="shared" ref="J28:M28" si="34">D28/$H$28</f>
        <v>12.48</v>
      </c>
      <c r="K28" s="9">
        <f t="shared" si="34"/>
        <v>12.17</v>
      </c>
      <c r="L28" s="9">
        <f t="shared" si="34"/>
        <v>34.076666666666668</v>
      </c>
      <c r="M28" s="9">
        <f t="shared" si="34"/>
        <v>15.19</v>
      </c>
      <c r="N28" s="9">
        <f>$B$28/I28</f>
        <v>14.170247046186896</v>
      </c>
      <c r="O28" s="9">
        <f t="shared" ref="O28:R28" si="35">$B$28/J28</f>
        <v>14.094551282051283</v>
      </c>
      <c r="P28" s="9">
        <f t="shared" si="35"/>
        <v>14.453574363188169</v>
      </c>
      <c r="Q28" s="9">
        <f t="shared" si="35"/>
        <v>5.1618898562065931</v>
      </c>
      <c r="R28" s="9">
        <f t="shared" si="35"/>
        <v>11.579986833443055</v>
      </c>
      <c r="T28" s="9"/>
      <c r="V28" s="9"/>
    </row>
    <row r="29" spans="1:22" x14ac:dyDescent="0.25">
      <c r="A29">
        <v>5</v>
      </c>
      <c r="B29">
        <v>173.4</v>
      </c>
      <c r="C29">
        <v>45174</v>
      </c>
      <c r="D29">
        <v>46307</v>
      </c>
      <c r="E29">
        <v>42947</v>
      </c>
      <c r="F29">
        <v>123659</v>
      </c>
      <c r="G29">
        <v>52451</v>
      </c>
      <c r="H29">
        <v>3600</v>
      </c>
      <c r="I29" s="9">
        <f>C29/$H$29</f>
        <v>12.548333333333334</v>
      </c>
      <c r="J29" s="9">
        <f t="shared" ref="J29:M29" si="36">D29/$H$29</f>
        <v>12.863055555555556</v>
      </c>
      <c r="K29" s="9">
        <f t="shared" si="36"/>
        <v>11.929722222222223</v>
      </c>
      <c r="L29" s="9">
        <f t="shared" si="36"/>
        <v>34.349722222222219</v>
      </c>
      <c r="M29" s="9">
        <f t="shared" si="36"/>
        <v>14.569722222222222</v>
      </c>
      <c r="N29" s="9">
        <f>$B$29/I29</f>
        <v>13.818568202948599</v>
      </c>
      <c r="O29" s="9">
        <f t="shared" ref="O29:R29" si="37">$B$29/J29</f>
        <v>13.480467315956551</v>
      </c>
      <c r="P29" s="9">
        <f t="shared" si="37"/>
        <v>14.535124688569631</v>
      </c>
      <c r="Q29" s="9">
        <f t="shared" si="37"/>
        <v>5.0480757567180721</v>
      </c>
      <c r="R29" s="9">
        <f t="shared" si="37"/>
        <v>11.90139368172199</v>
      </c>
      <c r="T29" s="9"/>
      <c r="V29" s="9"/>
    </row>
    <row r="30" spans="1:22" x14ac:dyDescent="0.25">
      <c r="A30">
        <v>6</v>
      </c>
      <c r="B30">
        <v>166.8</v>
      </c>
      <c r="C30">
        <v>3615</v>
      </c>
      <c r="D30">
        <v>3509</v>
      </c>
      <c r="E30">
        <v>3375</v>
      </c>
      <c r="F30">
        <v>9551</v>
      </c>
      <c r="G30">
        <v>3832</v>
      </c>
      <c r="H30">
        <v>300</v>
      </c>
      <c r="I30" s="9">
        <f>C30/$H$30</f>
        <v>12.05</v>
      </c>
      <c r="J30" s="9">
        <f t="shared" ref="J30:M30" si="38">D30/$H$30</f>
        <v>11.696666666666667</v>
      </c>
      <c r="K30" s="9">
        <f t="shared" si="38"/>
        <v>11.25</v>
      </c>
      <c r="L30" s="9">
        <f t="shared" si="38"/>
        <v>31.836666666666666</v>
      </c>
      <c r="M30" s="9">
        <f t="shared" si="38"/>
        <v>12.773333333333333</v>
      </c>
      <c r="N30" s="9">
        <f>$B$30/I30</f>
        <v>13.842323651452283</v>
      </c>
      <c r="O30" s="9">
        <f t="shared" ref="O30:R30" si="39">$B$30/J30</f>
        <v>14.2604730692505</v>
      </c>
      <c r="P30" s="9">
        <f t="shared" si="39"/>
        <v>14.826666666666668</v>
      </c>
      <c r="Q30" s="9">
        <f t="shared" si="39"/>
        <v>5.2392419641922316</v>
      </c>
      <c r="R30" s="9">
        <f t="shared" si="39"/>
        <v>13.058455114822548</v>
      </c>
      <c r="V30" s="9"/>
    </row>
    <row r="31" spans="1:22" x14ac:dyDescent="0.25">
      <c r="A31">
        <v>7</v>
      </c>
      <c r="B31">
        <v>158.6</v>
      </c>
      <c r="C31">
        <v>3339</v>
      </c>
      <c r="D31">
        <v>3412</v>
      </c>
      <c r="E31">
        <v>3090</v>
      </c>
      <c r="F31">
        <v>9030</v>
      </c>
      <c r="G31">
        <v>3642</v>
      </c>
      <c r="H31">
        <v>300</v>
      </c>
      <c r="I31" s="9">
        <f>C31/$H$31</f>
        <v>11.13</v>
      </c>
      <c r="J31" s="9">
        <f t="shared" ref="J31:L31" si="40">D31/$H$31</f>
        <v>11.373333333333333</v>
      </c>
      <c r="K31" s="9">
        <f t="shared" si="40"/>
        <v>10.3</v>
      </c>
      <c r="L31" s="9">
        <f t="shared" si="40"/>
        <v>30.1</v>
      </c>
      <c r="M31" s="9">
        <f>G31/$H$31</f>
        <v>12.14</v>
      </c>
      <c r="N31" s="9">
        <f>$B$31/I31</f>
        <v>14.249775381850853</v>
      </c>
      <c r="O31" s="9">
        <f t="shared" ref="O31:R31" si="41">$B$31/J31</f>
        <v>13.944900351699882</v>
      </c>
      <c r="P31" s="9">
        <f t="shared" si="41"/>
        <v>15.398058252427182</v>
      </c>
      <c r="Q31" s="9">
        <f t="shared" si="41"/>
        <v>5.2691029900332218</v>
      </c>
      <c r="R31" s="9">
        <f t="shared" si="41"/>
        <v>13.064250411861613</v>
      </c>
      <c r="V31" s="9"/>
    </row>
    <row r="34" spans="21:22" x14ac:dyDescent="0.25">
      <c r="U34" t="s">
        <v>119</v>
      </c>
    </row>
    <row r="36" spans="21:22" x14ac:dyDescent="0.25">
      <c r="U36" t="s">
        <v>1</v>
      </c>
      <c r="V36" t="s">
        <v>120</v>
      </c>
    </row>
    <row r="37" spans="21:22" x14ac:dyDescent="0.25">
      <c r="U37" t="s">
        <v>6</v>
      </c>
      <c r="V37" t="s">
        <v>121</v>
      </c>
    </row>
    <row r="38" spans="21:22" x14ac:dyDescent="0.25">
      <c r="U38" t="s">
        <v>110</v>
      </c>
      <c r="V38" t="s">
        <v>122</v>
      </c>
    </row>
    <row r="60" spans="13:13" x14ac:dyDescent="0.25">
      <c r="M60" t="s">
        <v>118</v>
      </c>
    </row>
  </sheetData>
  <mergeCells count="3">
    <mergeCell ref="C3:G3"/>
    <mergeCell ref="I3:M3"/>
    <mergeCell ref="N3:R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5"/>
  <sheetViews>
    <sheetView workbookViewId="0">
      <selection activeCell="N3" sqref="N3:R3"/>
    </sheetView>
  </sheetViews>
  <sheetFormatPr baseColWidth="10" defaultRowHeight="15" x14ac:dyDescent="0.25"/>
  <sheetData>
    <row r="3" spans="2:18" x14ac:dyDescent="0.25">
      <c r="B3" s="8"/>
      <c r="C3" s="51" t="s">
        <v>106</v>
      </c>
      <c r="D3" s="51"/>
      <c r="E3" s="51"/>
      <c r="F3" s="51"/>
      <c r="G3" s="51"/>
      <c r="H3" s="11" t="s">
        <v>23</v>
      </c>
      <c r="I3" s="52" t="s">
        <v>107</v>
      </c>
      <c r="J3" s="53"/>
      <c r="K3" s="53"/>
      <c r="L3" s="53"/>
      <c r="M3" s="53"/>
      <c r="N3" s="54" t="s">
        <v>108</v>
      </c>
      <c r="O3" s="54"/>
      <c r="P3" s="54"/>
      <c r="Q3" s="54"/>
      <c r="R3" s="54"/>
    </row>
    <row r="4" spans="2:18" x14ac:dyDescent="0.25">
      <c r="B4" s="8" t="s">
        <v>19</v>
      </c>
      <c r="C4" s="8" t="s">
        <v>1</v>
      </c>
      <c r="D4" s="8" t="s">
        <v>8</v>
      </c>
      <c r="E4" s="8" t="s">
        <v>9</v>
      </c>
      <c r="F4" s="8" t="s">
        <v>10</v>
      </c>
      <c r="G4" s="8" t="s">
        <v>6</v>
      </c>
      <c r="I4" s="8" t="s">
        <v>1</v>
      </c>
      <c r="J4" s="8" t="s">
        <v>8</v>
      </c>
      <c r="K4" s="8" t="s">
        <v>9</v>
      </c>
      <c r="L4" s="8" t="s">
        <v>10</v>
      </c>
      <c r="M4" s="8" t="s">
        <v>6</v>
      </c>
      <c r="N4" s="8" t="s">
        <v>30</v>
      </c>
      <c r="O4" s="8" t="s">
        <v>26</v>
      </c>
      <c r="P4" s="8" t="s">
        <v>27</v>
      </c>
      <c r="Q4" s="8" t="s">
        <v>28</v>
      </c>
      <c r="R4" s="8" t="s">
        <v>29</v>
      </c>
    </row>
    <row r="5" spans="2:18" x14ac:dyDescent="0.25">
      <c r="B5" s="8" t="s">
        <v>17</v>
      </c>
      <c r="C5" s="8" t="s">
        <v>33</v>
      </c>
      <c r="D5" s="8" t="s">
        <v>33</v>
      </c>
      <c r="E5" s="8" t="s">
        <v>33</v>
      </c>
      <c r="F5" s="8" t="s">
        <v>33</v>
      </c>
      <c r="G5" s="8" t="s">
        <v>33</v>
      </c>
      <c r="H5" s="8" t="s">
        <v>24</v>
      </c>
      <c r="I5" s="8" t="s">
        <v>32</v>
      </c>
      <c r="J5" s="8" t="s">
        <v>32</v>
      </c>
      <c r="K5" s="8" t="s">
        <v>32</v>
      </c>
      <c r="L5" s="8" t="s">
        <v>32</v>
      </c>
      <c r="M5" s="8" t="s">
        <v>32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</row>
    <row r="6" spans="2:18" x14ac:dyDescent="0.25">
      <c r="B6" s="10">
        <v>4.5999999999999996</v>
      </c>
      <c r="C6" s="10">
        <v>112</v>
      </c>
      <c r="D6" s="10">
        <v>116</v>
      </c>
      <c r="E6" s="10">
        <v>102</v>
      </c>
      <c r="F6" s="10">
        <v>348</v>
      </c>
      <c r="G6" s="10">
        <v>92</v>
      </c>
      <c r="H6" s="10">
        <v>300</v>
      </c>
      <c r="I6" s="9">
        <f>C6/300</f>
        <v>0.37333333333333335</v>
      </c>
      <c r="J6" s="9">
        <f t="shared" ref="J6:M6" si="0">D6/300</f>
        <v>0.38666666666666666</v>
      </c>
      <c r="K6" s="9">
        <f t="shared" si="0"/>
        <v>0.34</v>
      </c>
      <c r="L6" s="9">
        <f t="shared" si="0"/>
        <v>1.1599999999999999</v>
      </c>
      <c r="M6" s="9">
        <f t="shared" si="0"/>
        <v>0.30666666666666664</v>
      </c>
      <c r="N6" s="9">
        <f>$B$6/I6</f>
        <v>12.321428571428569</v>
      </c>
      <c r="O6" s="9">
        <f t="shared" ref="O6:R6" si="1">$B$6/J6</f>
        <v>11.896551724137931</v>
      </c>
      <c r="P6" s="9">
        <f t="shared" si="1"/>
        <v>13.52941176470588</v>
      </c>
      <c r="Q6" s="9">
        <f t="shared" si="1"/>
        <v>3.9655172413793105</v>
      </c>
      <c r="R6" s="9">
        <f t="shared" si="1"/>
        <v>15</v>
      </c>
    </row>
    <row r="7" spans="2:18" x14ac:dyDescent="0.25">
      <c r="B7" s="47">
        <v>5</v>
      </c>
      <c r="C7" s="10">
        <v>123</v>
      </c>
      <c r="D7" s="10">
        <v>170</v>
      </c>
      <c r="E7" s="10">
        <v>148</v>
      </c>
      <c r="F7" s="10">
        <v>455</v>
      </c>
      <c r="G7" s="10">
        <v>225</v>
      </c>
      <c r="H7">
        <v>300</v>
      </c>
      <c r="I7" s="9">
        <f t="shared" ref="I7:I25" si="2">C7/300</f>
        <v>0.41</v>
      </c>
      <c r="J7" s="9">
        <f t="shared" ref="J7:J25" si="3">D7/300</f>
        <v>0.56666666666666665</v>
      </c>
      <c r="K7" s="9">
        <f t="shared" ref="K7:K25" si="4">E7/300</f>
        <v>0.49333333333333335</v>
      </c>
      <c r="L7" s="9">
        <f t="shared" ref="L7:L25" si="5">F7/300</f>
        <v>1.5166666666666666</v>
      </c>
      <c r="M7" s="9">
        <f t="shared" ref="M7:M25" si="6">G7/300</f>
        <v>0.75</v>
      </c>
      <c r="N7" s="9">
        <f>$B$7/I7</f>
        <v>12.195121951219512</v>
      </c>
      <c r="O7" s="9">
        <f t="shared" ref="O7:R7" si="7">$B$7/J7</f>
        <v>8.8235294117647065</v>
      </c>
      <c r="P7" s="9">
        <f t="shared" si="7"/>
        <v>10.135135135135135</v>
      </c>
      <c r="Q7" s="9">
        <f t="shared" si="7"/>
        <v>3.296703296703297</v>
      </c>
      <c r="R7" s="9">
        <f t="shared" si="7"/>
        <v>6.666666666666667</v>
      </c>
    </row>
    <row r="8" spans="2:18" x14ac:dyDescent="0.25">
      <c r="B8" s="47">
        <v>13.8</v>
      </c>
      <c r="C8" s="10">
        <v>267</v>
      </c>
      <c r="D8" s="10">
        <v>213</v>
      </c>
      <c r="E8" s="10">
        <v>231</v>
      </c>
      <c r="F8" s="10">
        <v>631</v>
      </c>
      <c r="G8" s="10">
        <v>262</v>
      </c>
      <c r="H8">
        <v>300</v>
      </c>
      <c r="I8" s="9">
        <f t="shared" si="2"/>
        <v>0.89</v>
      </c>
      <c r="J8" s="9">
        <f t="shared" si="3"/>
        <v>0.71</v>
      </c>
      <c r="K8" s="9">
        <f t="shared" si="4"/>
        <v>0.77</v>
      </c>
      <c r="L8" s="9">
        <f t="shared" si="5"/>
        <v>2.1033333333333335</v>
      </c>
      <c r="M8" s="9">
        <f t="shared" si="6"/>
        <v>0.87333333333333329</v>
      </c>
      <c r="N8" s="9">
        <f>$B$8/I8</f>
        <v>15.50561797752809</v>
      </c>
      <c r="O8" s="9">
        <f t="shared" ref="O8:R8" si="8">$B$8/J8</f>
        <v>19.43661971830986</v>
      </c>
      <c r="P8" s="9">
        <f t="shared" si="8"/>
        <v>17.922077922077921</v>
      </c>
      <c r="Q8" s="9">
        <f t="shared" si="8"/>
        <v>6.561014263074485</v>
      </c>
      <c r="R8" s="9">
        <f t="shared" si="8"/>
        <v>15.801526717557254</v>
      </c>
    </row>
    <row r="9" spans="2:18" x14ac:dyDescent="0.25">
      <c r="B9" s="47">
        <v>15</v>
      </c>
      <c r="C9" s="10">
        <v>311</v>
      </c>
      <c r="D9" s="10">
        <v>292</v>
      </c>
      <c r="E9" s="10">
        <v>282</v>
      </c>
      <c r="F9" s="10">
        <v>833</v>
      </c>
      <c r="G9" s="10">
        <v>349</v>
      </c>
      <c r="H9">
        <v>300</v>
      </c>
      <c r="I9" s="9">
        <f t="shared" si="2"/>
        <v>1.0366666666666666</v>
      </c>
      <c r="J9" s="9">
        <f t="shared" si="3"/>
        <v>0.97333333333333338</v>
      </c>
      <c r="K9" s="9">
        <f t="shared" si="4"/>
        <v>0.94</v>
      </c>
      <c r="L9" s="9">
        <f t="shared" si="5"/>
        <v>2.7766666666666668</v>
      </c>
      <c r="M9" s="9">
        <f t="shared" si="6"/>
        <v>1.1633333333333333</v>
      </c>
      <c r="N9" s="9">
        <f>$B$9/I9</f>
        <v>14.469453376205788</v>
      </c>
      <c r="O9" s="9">
        <f t="shared" ref="O9:R9" si="9">$B$9/J9</f>
        <v>15.410958904109588</v>
      </c>
      <c r="P9" s="9">
        <f t="shared" si="9"/>
        <v>15.957446808510639</v>
      </c>
      <c r="Q9" s="9">
        <f t="shared" si="9"/>
        <v>5.4021608643457384</v>
      </c>
      <c r="R9" s="9">
        <f t="shared" si="9"/>
        <v>12.893982808022923</v>
      </c>
    </row>
    <row r="10" spans="2:18" x14ac:dyDescent="0.25">
      <c r="B10" s="47">
        <v>37.299999999999997</v>
      </c>
      <c r="C10" s="10">
        <v>880</v>
      </c>
      <c r="D10" s="10">
        <v>893</v>
      </c>
      <c r="E10" s="10">
        <v>780</v>
      </c>
      <c r="F10" s="10">
        <v>2299</v>
      </c>
      <c r="G10" s="10">
        <v>764</v>
      </c>
      <c r="H10">
        <v>300</v>
      </c>
      <c r="I10" s="9">
        <f t="shared" si="2"/>
        <v>2.9333333333333331</v>
      </c>
      <c r="J10" s="9">
        <f t="shared" si="3"/>
        <v>2.9766666666666666</v>
      </c>
      <c r="K10" s="9">
        <f t="shared" si="4"/>
        <v>2.6</v>
      </c>
      <c r="L10" s="9">
        <f t="shared" si="5"/>
        <v>7.6633333333333331</v>
      </c>
      <c r="M10" s="9">
        <f t="shared" si="6"/>
        <v>2.5466666666666669</v>
      </c>
      <c r="N10" s="9">
        <f>$B$10/I10</f>
        <v>12.715909090909092</v>
      </c>
      <c r="O10" s="9">
        <f t="shared" ref="O10:R10" si="10">$B$10/J10</f>
        <v>12.530795072788353</v>
      </c>
      <c r="P10" s="9">
        <f t="shared" si="10"/>
        <v>14.346153846153845</v>
      </c>
      <c r="Q10" s="9">
        <f t="shared" si="10"/>
        <v>4.8673336233144839</v>
      </c>
      <c r="R10" s="9">
        <f t="shared" si="10"/>
        <v>14.646596858638741</v>
      </c>
    </row>
    <row r="11" spans="2:18" x14ac:dyDescent="0.25">
      <c r="B11" s="10">
        <v>41.4</v>
      </c>
      <c r="C11" s="10">
        <v>1007</v>
      </c>
      <c r="D11" s="10">
        <v>994</v>
      </c>
      <c r="E11" s="10">
        <v>871</v>
      </c>
      <c r="F11" s="10">
        <v>2573</v>
      </c>
      <c r="G11" s="10">
        <v>903</v>
      </c>
      <c r="H11" s="10">
        <v>300</v>
      </c>
      <c r="I11" s="9">
        <f t="shared" si="2"/>
        <v>3.3566666666666665</v>
      </c>
      <c r="J11" s="9">
        <f t="shared" si="3"/>
        <v>3.3133333333333335</v>
      </c>
      <c r="K11" s="9">
        <f t="shared" si="4"/>
        <v>2.9033333333333333</v>
      </c>
      <c r="L11" s="9">
        <f t="shared" si="5"/>
        <v>8.5766666666666662</v>
      </c>
      <c r="M11" s="9">
        <f t="shared" si="6"/>
        <v>3.01</v>
      </c>
      <c r="N11" s="9">
        <f>$B$11/I11</f>
        <v>12.333664349553128</v>
      </c>
      <c r="O11" s="9">
        <f t="shared" ref="O11:R11" si="11">$B$11/J11</f>
        <v>12.49496981891348</v>
      </c>
      <c r="P11" s="9">
        <f t="shared" si="11"/>
        <v>14.259471871412169</v>
      </c>
      <c r="Q11" s="9">
        <f t="shared" si="11"/>
        <v>4.8270501360279834</v>
      </c>
      <c r="R11" s="9">
        <f t="shared" si="11"/>
        <v>13.754152823920267</v>
      </c>
    </row>
    <row r="12" spans="2:18" x14ac:dyDescent="0.25">
      <c r="B12">
        <v>46.9</v>
      </c>
      <c r="C12">
        <v>1140</v>
      </c>
      <c r="D12">
        <v>1095</v>
      </c>
      <c r="E12">
        <v>981</v>
      </c>
      <c r="F12">
        <v>2786</v>
      </c>
      <c r="G12">
        <v>1020</v>
      </c>
      <c r="H12">
        <v>300</v>
      </c>
      <c r="I12" s="9">
        <f t="shared" si="2"/>
        <v>3.8</v>
      </c>
      <c r="J12" s="9">
        <f t="shared" si="3"/>
        <v>3.65</v>
      </c>
      <c r="K12" s="9">
        <f t="shared" si="4"/>
        <v>3.27</v>
      </c>
      <c r="L12" s="9">
        <f t="shared" si="5"/>
        <v>9.2866666666666671</v>
      </c>
      <c r="M12" s="9">
        <f t="shared" si="6"/>
        <v>3.4</v>
      </c>
      <c r="N12" s="9">
        <f>$B$12/I12</f>
        <v>12.342105263157896</v>
      </c>
      <c r="O12" s="9">
        <f t="shared" ref="O12:R12" si="12">$B$12/J12</f>
        <v>12.849315068493151</v>
      </c>
      <c r="P12" s="9">
        <f t="shared" si="12"/>
        <v>14.342507645259939</v>
      </c>
      <c r="Q12" s="9">
        <f t="shared" si="12"/>
        <v>5.050251256281407</v>
      </c>
      <c r="R12" s="9">
        <f t="shared" si="12"/>
        <v>13.794117647058824</v>
      </c>
    </row>
    <row r="13" spans="2:18" x14ac:dyDescent="0.25">
      <c r="B13">
        <v>50</v>
      </c>
      <c r="C13">
        <v>1158</v>
      </c>
      <c r="D13">
        <v>1247</v>
      </c>
      <c r="E13">
        <v>1122</v>
      </c>
      <c r="F13">
        <v>3282</v>
      </c>
      <c r="G13">
        <v>1436</v>
      </c>
      <c r="H13">
        <v>300</v>
      </c>
      <c r="I13" s="9">
        <f t="shared" si="2"/>
        <v>3.86</v>
      </c>
      <c r="J13" s="9">
        <f t="shared" si="3"/>
        <v>4.1566666666666663</v>
      </c>
      <c r="K13" s="9">
        <f t="shared" si="4"/>
        <v>3.74</v>
      </c>
      <c r="L13" s="9">
        <f t="shared" si="5"/>
        <v>10.94</v>
      </c>
      <c r="M13" s="9">
        <f t="shared" si="6"/>
        <v>4.7866666666666671</v>
      </c>
      <c r="N13" s="9">
        <f>$B$13/I13</f>
        <v>12.953367875647668</v>
      </c>
      <c r="O13" s="9">
        <f t="shared" ref="O13:R13" si="13">$B$13/J13</f>
        <v>12.02886928628709</v>
      </c>
      <c r="P13" s="9">
        <f t="shared" si="13"/>
        <v>13.36898395721925</v>
      </c>
      <c r="Q13" s="9">
        <f t="shared" si="13"/>
        <v>4.5703839122486292</v>
      </c>
      <c r="R13" s="9">
        <f t="shared" si="13"/>
        <v>10.44568245125348</v>
      </c>
    </row>
    <row r="14" spans="2:18" x14ac:dyDescent="0.25">
      <c r="B14">
        <v>74.599999999999994</v>
      </c>
      <c r="C14" s="10">
        <v>1769</v>
      </c>
      <c r="D14" s="10">
        <v>1748</v>
      </c>
      <c r="E14" s="10">
        <v>1632</v>
      </c>
      <c r="F14" s="10">
        <v>4636</v>
      </c>
      <c r="G14" s="10">
        <v>1596</v>
      </c>
      <c r="H14">
        <v>300</v>
      </c>
      <c r="I14" s="9">
        <f t="shared" si="2"/>
        <v>5.8966666666666665</v>
      </c>
      <c r="J14" s="9">
        <f t="shared" si="3"/>
        <v>5.8266666666666671</v>
      </c>
      <c r="K14" s="9">
        <f t="shared" si="4"/>
        <v>5.44</v>
      </c>
      <c r="L14" s="9">
        <f t="shared" si="5"/>
        <v>15.453333333333333</v>
      </c>
      <c r="M14" s="9">
        <f t="shared" si="6"/>
        <v>5.32</v>
      </c>
      <c r="N14" s="9">
        <f>$B$14/I14</f>
        <v>12.651215375918598</v>
      </c>
      <c r="O14" s="9">
        <f t="shared" ref="O14:R14" si="14">$B$14/J14</f>
        <v>12.803203661327229</v>
      </c>
      <c r="P14" s="9">
        <f t="shared" si="14"/>
        <v>13.713235294117645</v>
      </c>
      <c r="Q14" s="9">
        <f t="shared" si="14"/>
        <v>4.8274374460742013</v>
      </c>
      <c r="R14" s="9">
        <f t="shared" si="14"/>
        <v>14.022556390977442</v>
      </c>
    </row>
    <row r="15" spans="2:18" x14ac:dyDescent="0.25">
      <c r="B15">
        <v>82.8</v>
      </c>
      <c r="C15">
        <v>1911</v>
      </c>
      <c r="D15">
        <v>1822</v>
      </c>
      <c r="E15">
        <v>1811</v>
      </c>
      <c r="F15">
        <v>5012</v>
      </c>
      <c r="G15">
        <v>1888</v>
      </c>
      <c r="H15">
        <v>300</v>
      </c>
      <c r="I15" s="9">
        <f t="shared" si="2"/>
        <v>6.37</v>
      </c>
      <c r="J15" s="9">
        <f t="shared" si="3"/>
        <v>6.0733333333333333</v>
      </c>
      <c r="K15" s="9">
        <f t="shared" si="4"/>
        <v>6.0366666666666671</v>
      </c>
      <c r="L15" s="9">
        <f t="shared" si="5"/>
        <v>16.706666666666667</v>
      </c>
      <c r="M15" s="9">
        <f t="shared" si="6"/>
        <v>6.293333333333333</v>
      </c>
      <c r="N15" s="9">
        <f>$B$15/I15</f>
        <v>12.998430141287283</v>
      </c>
      <c r="O15" s="9">
        <f t="shared" ref="O15:R15" si="15">$B$15/J15</f>
        <v>13.633369923161361</v>
      </c>
      <c r="P15" s="9">
        <f t="shared" si="15"/>
        <v>13.716178906681391</v>
      </c>
      <c r="Q15" s="9">
        <f t="shared" si="15"/>
        <v>4.9561053471667993</v>
      </c>
      <c r="R15" s="9">
        <f t="shared" si="15"/>
        <v>13.15677966101695</v>
      </c>
    </row>
    <row r="16" spans="2:18" x14ac:dyDescent="0.25">
      <c r="B16">
        <v>93.7</v>
      </c>
      <c r="C16">
        <v>2275</v>
      </c>
      <c r="D16">
        <v>2140</v>
      </c>
      <c r="E16">
        <v>2024</v>
      </c>
      <c r="F16">
        <v>5760</v>
      </c>
      <c r="G16">
        <v>2116</v>
      </c>
      <c r="H16">
        <v>300</v>
      </c>
      <c r="I16" s="9">
        <f t="shared" si="2"/>
        <v>7.583333333333333</v>
      </c>
      <c r="J16" s="9">
        <f t="shared" si="3"/>
        <v>7.1333333333333337</v>
      </c>
      <c r="K16" s="9">
        <f t="shared" si="4"/>
        <v>6.746666666666667</v>
      </c>
      <c r="L16" s="9">
        <f t="shared" si="5"/>
        <v>19.2</v>
      </c>
      <c r="M16" s="9">
        <f t="shared" si="6"/>
        <v>7.0533333333333337</v>
      </c>
      <c r="N16" s="9">
        <f>$B$16/I16</f>
        <v>12.356043956043957</v>
      </c>
      <c r="O16" s="9">
        <f t="shared" ref="O16:R16" si="16">$B$16/J16</f>
        <v>13.135514018691589</v>
      </c>
      <c r="P16" s="9">
        <f t="shared" si="16"/>
        <v>13.888339920948617</v>
      </c>
      <c r="Q16" s="9">
        <f t="shared" si="16"/>
        <v>4.8802083333333339</v>
      </c>
      <c r="R16" s="9">
        <f t="shared" si="16"/>
        <v>13.284499054820415</v>
      </c>
    </row>
    <row r="17" spans="2:18" x14ac:dyDescent="0.25">
      <c r="B17">
        <v>100</v>
      </c>
      <c r="C17">
        <v>2557</v>
      </c>
      <c r="D17">
        <v>2394</v>
      </c>
      <c r="E17">
        <v>2209</v>
      </c>
      <c r="F17">
        <v>6433</v>
      </c>
      <c r="G17">
        <v>2334</v>
      </c>
      <c r="H17">
        <v>300</v>
      </c>
      <c r="I17" s="9">
        <f t="shared" si="2"/>
        <v>8.5233333333333334</v>
      </c>
      <c r="J17" s="9">
        <f t="shared" si="3"/>
        <v>7.98</v>
      </c>
      <c r="K17" s="9">
        <f t="shared" si="4"/>
        <v>7.3633333333333333</v>
      </c>
      <c r="L17" s="9">
        <f t="shared" si="5"/>
        <v>21.443333333333332</v>
      </c>
      <c r="M17" s="9">
        <f t="shared" si="6"/>
        <v>7.78</v>
      </c>
      <c r="N17" s="9">
        <f>$B$17/I17</f>
        <v>11.732499022291748</v>
      </c>
      <c r="O17" s="9">
        <f t="shared" ref="O17:R17" si="17">$B$17/J17</f>
        <v>12.531328320802004</v>
      </c>
      <c r="P17" s="9">
        <f t="shared" si="17"/>
        <v>13.58080579447714</v>
      </c>
      <c r="Q17" s="9">
        <f t="shared" si="17"/>
        <v>4.6634540649774605</v>
      </c>
      <c r="R17" s="9">
        <f t="shared" si="17"/>
        <v>12.853470437017995</v>
      </c>
    </row>
    <row r="18" spans="2:18" x14ac:dyDescent="0.25">
      <c r="B18">
        <v>373</v>
      </c>
      <c r="C18">
        <v>8744</v>
      </c>
      <c r="D18">
        <v>8891</v>
      </c>
      <c r="E18">
        <v>7955</v>
      </c>
      <c r="F18">
        <v>23238</v>
      </c>
      <c r="G18">
        <v>8317</v>
      </c>
      <c r="H18">
        <v>300</v>
      </c>
      <c r="I18" s="9">
        <f t="shared" si="2"/>
        <v>29.146666666666668</v>
      </c>
      <c r="J18" s="9">
        <f t="shared" si="3"/>
        <v>29.636666666666667</v>
      </c>
      <c r="K18" s="9">
        <f t="shared" si="4"/>
        <v>26.516666666666666</v>
      </c>
      <c r="L18" s="9">
        <f t="shared" si="5"/>
        <v>77.459999999999994</v>
      </c>
      <c r="M18" s="9">
        <f t="shared" si="6"/>
        <v>27.723333333333333</v>
      </c>
      <c r="N18" s="9">
        <f>$B$18/I18</f>
        <v>12.797346752058553</v>
      </c>
      <c r="O18" s="9">
        <f t="shared" ref="O18:R18" si="18">$B$18/J18</f>
        <v>12.585760881790575</v>
      </c>
      <c r="P18" s="9">
        <f t="shared" si="18"/>
        <v>14.066624764299183</v>
      </c>
      <c r="Q18" s="9">
        <f t="shared" si="18"/>
        <v>4.8153885876581466</v>
      </c>
      <c r="R18" s="9">
        <f t="shared" si="18"/>
        <v>13.454370566309969</v>
      </c>
    </row>
    <row r="19" spans="2:18" x14ac:dyDescent="0.25">
      <c r="B19">
        <v>413.9</v>
      </c>
      <c r="C19">
        <v>9749</v>
      </c>
      <c r="D19">
        <v>9722</v>
      </c>
      <c r="E19">
        <v>8972</v>
      </c>
      <c r="F19">
        <v>25646</v>
      </c>
      <c r="G19">
        <v>9405</v>
      </c>
      <c r="H19">
        <v>300</v>
      </c>
      <c r="I19" s="9">
        <f t="shared" si="2"/>
        <v>32.49666666666667</v>
      </c>
      <c r="J19" s="9">
        <f t="shared" si="3"/>
        <v>32.406666666666666</v>
      </c>
      <c r="K19" s="9">
        <f t="shared" si="4"/>
        <v>29.906666666666666</v>
      </c>
      <c r="L19" s="9">
        <f t="shared" si="5"/>
        <v>85.486666666666665</v>
      </c>
      <c r="M19" s="9">
        <f t="shared" si="6"/>
        <v>31.35</v>
      </c>
      <c r="N19" s="9">
        <f>$B$19/I19</f>
        <v>12.736690942660784</v>
      </c>
      <c r="O19" s="9">
        <f t="shared" ref="O19:R19" si="19">$B$19/J19</f>
        <v>12.772063361448261</v>
      </c>
      <c r="P19" s="9">
        <f t="shared" si="19"/>
        <v>13.839723584485064</v>
      </c>
      <c r="Q19" s="9">
        <f t="shared" si="19"/>
        <v>4.8416907120018715</v>
      </c>
      <c r="R19" s="9">
        <f t="shared" si="19"/>
        <v>13.20255183413078</v>
      </c>
    </row>
    <row r="20" spans="2:18" x14ac:dyDescent="0.25">
      <c r="B20">
        <v>468.7</v>
      </c>
      <c r="C20">
        <v>11357</v>
      </c>
      <c r="D20">
        <v>10973</v>
      </c>
      <c r="E20">
        <v>10192</v>
      </c>
      <c r="F20">
        <v>29441</v>
      </c>
      <c r="G20">
        <v>10584</v>
      </c>
      <c r="H20">
        <v>300</v>
      </c>
      <c r="I20" s="9">
        <f t="shared" si="2"/>
        <v>37.856666666666669</v>
      </c>
      <c r="J20" s="9">
        <f t="shared" si="3"/>
        <v>36.576666666666668</v>
      </c>
      <c r="K20" s="9">
        <f t="shared" si="4"/>
        <v>33.973333333333336</v>
      </c>
      <c r="L20" s="9">
        <f t="shared" si="5"/>
        <v>98.13666666666667</v>
      </c>
      <c r="M20" s="9">
        <f t="shared" si="6"/>
        <v>35.28</v>
      </c>
      <c r="N20" s="9">
        <f>$B$20/I20</f>
        <v>12.380910451703794</v>
      </c>
      <c r="O20" s="9">
        <f t="shared" ref="O20:R20" si="20">$B$20/J20</f>
        <v>12.814180260639752</v>
      </c>
      <c r="P20" s="9">
        <f t="shared" si="20"/>
        <v>13.796114599686026</v>
      </c>
      <c r="Q20" s="9">
        <f t="shared" si="20"/>
        <v>4.775992663292687</v>
      </c>
      <c r="R20" s="9">
        <f t="shared" si="20"/>
        <v>13.285147392290249</v>
      </c>
    </row>
    <row r="21" spans="2:18" x14ac:dyDescent="0.25">
      <c r="B21">
        <v>500</v>
      </c>
      <c r="C21">
        <v>12376</v>
      </c>
      <c r="D21">
        <v>12306</v>
      </c>
      <c r="E21">
        <v>11132</v>
      </c>
      <c r="F21">
        <v>32290</v>
      </c>
      <c r="G21">
        <v>11266</v>
      </c>
      <c r="H21">
        <v>300</v>
      </c>
      <c r="I21" s="9">
        <f t="shared" si="2"/>
        <v>41.25333333333333</v>
      </c>
      <c r="J21" s="9">
        <f t="shared" si="3"/>
        <v>41.02</v>
      </c>
      <c r="K21" s="9">
        <f t="shared" si="4"/>
        <v>37.106666666666669</v>
      </c>
      <c r="L21" s="9">
        <f t="shared" si="5"/>
        <v>107.63333333333334</v>
      </c>
      <c r="M21" s="9">
        <f t="shared" si="6"/>
        <v>37.553333333333335</v>
      </c>
      <c r="N21" s="9">
        <f>$B$21/I21</f>
        <v>12.120232708468004</v>
      </c>
      <c r="O21" s="9">
        <f t="shared" ref="O21:Q21" si="21">$B$21/J21</f>
        <v>12.189176011701608</v>
      </c>
      <c r="P21" s="9">
        <f t="shared" si="21"/>
        <v>13.474667624865253</v>
      </c>
      <c r="Q21" s="9">
        <f t="shared" si="21"/>
        <v>4.6454010529575713</v>
      </c>
      <c r="R21" s="9">
        <f>$B$21/M21</f>
        <v>13.314397301615481</v>
      </c>
    </row>
    <row r="22" spans="2:18" x14ac:dyDescent="0.25">
      <c r="B22">
        <v>7240.6</v>
      </c>
      <c r="C22">
        <v>200173</v>
      </c>
      <c r="D22">
        <v>198555</v>
      </c>
      <c r="E22">
        <v>180550</v>
      </c>
      <c r="F22">
        <v>524524</v>
      </c>
      <c r="G22">
        <v>190757</v>
      </c>
      <c r="H22">
        <v>300</v>
      </c>
      <c r="I22" s="9">
        <f t="shared" si="2"/>
        <v>667.24333333333334</v>
      </c>
      <c r="J22" s="9">
        <f t="shared" si="3"/>
        <v>661.85</v>
      </c>
      <c r="K22" s="9">
        <f t="shared" si="4"/>
        <v>601.83333333333337</v>
      </c>
      <c r="L22" s="9">
        <f t="shared" si="5"/>
        <v>1748.4133333333334</v>
      </c>
      <c r="M22" s="9">
        <f t="shared" si="6"/>
        <v>635.85666666666668</v>
      </c>
      <c r="N22" s="9">
        <f>$B$22/I22</f>
        <v>10.851513440873644</v>
      </c>
      <c r="O22" s="9">
        <f t="shared" ref="O22:R22" si="22">$B$22/J22</f>
        <v>10.93994107426154</v>
      </c>
      <c r="P22" s="9">
        <f t="shared" si="22"/>
        <v>12.030905566325117</v>
      </c>
      <c r="Q22" s="9">
        <f t="shared" si="22"/>
        <v>4.141240438950363</v>
      </c>
      <c r="R22" s="9">
        <f t="shared" si="22"/>
        <v>11.38715748308057</v>
      </c>
    </row>
    <row r="23" spans="2:18" x14ac:dyDescent="0.25">
      <c r="B23">
        <v>8033.8</v>
      </c>
      <c r="C23">
        <v>221378</v>
      </c>
      <c r="D23">
        <v>219591</v>
      </c>
      <c r="E23">
        <v>199577</v>
      </c>
      <c r="F23">
        <v>580563</v>
      </c>
      <c r="G23">
        <v>211542</v>
      </c>
      <c r="H23">
        <v>300</v>
      </c>
      <c r="I23" s="9">
        <f t="shared" si="2"/>
        <v>737.92666666666662</v>
      </c>
      <c r="J23" s="9">
        <f t="shared" si="3"/>
        <v>731.97</v>
      </c>
      <c r="K23" s="9">
        <f t="shared" si="4"/>
        <v>665.25666666666666</v>
      </c>
      <c r="L23" s="9">
        <f t="shared" si="5"/>
        <v>1935.21</v>
      </c>
      <c r="M23" s="9">
        <f t="shared" si="6"/>
        <v>705.14</v>
      </c>
      <c r="N23" s="9">
        <f>$B$23/I23</f>
        <v>10.886989673770655</v>
      </c>
      <c r="O23" s="9">
        <f t="shared" ref="O23:R23" si="23">$B$23/J23</f>
        <v>10.975586431137888</v>
      </c>
      <c r="P23" s="9">
        <f t="shared" si="23"/>
        <v>12.076241250244268</v>
      </c>
      <c r="Q23" s="9">
        <f t="shared" si="23"/>
        <v>4.1513840875150505</v>
      </c>
      <c r="R23" s="9">
        <f t="shared" si="23"/>
        <v>11.393198513770315</v>
      </c>
    </row>
    <row r="24" spans="2:18" x14ac:dyDescent="0.25">
      <c r="B24">
        <v>9504</v>
      </c>
      <c r="C24">
        <v>262169</v>
      </c>
      <c r="D24">
        <v>264213</v>
      </c>
      <c r="E24">
        <v>236688</v>
      </c>
      <c r="F24">
        <v>692915</v>
      </c>
      <c r="G24">
        <v>248145</v>
      </c>
      <c r="H24">
        <v>300</v>
      </c>
      <c r="I24" s="9">
        <f t="shared" si="2"/>
        <v>873.89666666666665</v>
      </c>
      <c r="J24" s="9">
        <f t="shared" si="3"/>
        <v>880.71</v>
      </c>
      <c r="K24" s="9">
        <f t="shared" si="4"/>
        <v>788.96</v>
      </c>
      <c r="L24" s="9">
        <f t="shared" si="5"/>
        <v>2309.7166666666667</v>
      </c>
      <c r="M24" s="9">
        <f t="shared" si="6"/>
        <v>827.15</v>
      </c>
      <c r="N24" s="9">
        <f>$B$24/I24</f>
        <v>10.875427682143961</v>
      </c>
      <c r="O24" s="9">
        <f t="shared" ref="O24:R24" si="24">$B$24/J24</f>
        <v>10.791293388288993</v>
      </c>
      <c r="P24" s="9">
        <f t="shared" si="24"/>
        <v>12.046238085581017</v>
      </c>
      <c r="Q24" s="9">
        <f t="shared" si="24"/>
        <v>4.1147904144086933</v>
      </c>
      <c r="R24" s="9">
        <f t="shared" si="24"/>
        <v>11.490056217131114</v>
      </c>
    </row>
    <row r="25" spans="2:18" x14ac:dyDescent="0.25">
      <c r="B25">
        <v>10000</v>
      </c>
      <c r="C25">
        <v>277844</v>
      </c>
      <c r="D25">
        <v>279249</v>
      </c>
      <c r="E25">
        <v>251021</v>
      </c>
      <c r="F25">
        <v>733685</v>
      </c>
      <c r="G25">
        <v>261631</v>
      </c>
      <c r="H25">
        <v>300</v>
      </c>
      <c r="I25" s="9">
        <f t="shared" si="2"/>
        <v>926.14666666666665</v>
      </c>
      <c r="J25" s="9">
        <f t="shared" si="3"/>
        <v>930.83</v>
      </c>
      <c r="K25" s="9">
        <f t="shared" si="4"/>
        <v>836.73666666666668</v>
      </c>
      <c r="L25" s="9">
        <f t="shared" si="5"/>
        <v>2445.6166666666668</v>
      </c>
      <c r="M25" s="9">
        <f t="shared" si="6"/>
        <v>872.10333333333335</v>
      </c>
      <c r="N25" s="9">
        <f>$B$25/I25</f>
        <v>10.797425893666951</v>
      </c>
      <c r="O25" s="9">
        <f t="shared" ref="O25:R25" si="25">$B$25/J25</f>
        <v>10.743100243868374</v>
      </c>
      <c r="P25" s="9">
        <f t="shared" si="25"/>
        <v>11.951191334589536</v>
      </c>
      <c r="Q25" s="9">
        <f t="shared" si="25"/>
        <v>4.088948254359841</v>
      </c>
      <c r="R25" s="9">
        <f t="shared" si="25"/>
        <v>11.466531106787803</v>
      </c>
    </row>
  </sheetData>
  <mergeCells count="3">
    <mergeCell ref="C3:G3"/>
    <mergeCell ref="I3:M3"/>
    <mergeCell ref="N3:R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8"/>
  <sheetViews>
    <sheetView workbookViewId="0">
      <selection activeCell="D17" sqref="D17"/>
    </sheetView>
  </sheetViews>
  <sheetFormatPr baseColWidth="10" defaultRowHeight="15" x14ac:dyDescent="0.25"/>
  <sheetData>
    <row r="3" spans="2:19" x14ac:dyDescent="0.25">
      <c r="B3" s="8"/>
      <c r="C3" s="51" t="s">
        <v>106</v>
      </c>
      <c r="D3" s="51"/>
      <c r="E3" s="51"/>
      <c r="F3" s="51"/>
      <c r="G3" s="51"/>
      <c r="H3" s="11" t="s">
        <v>23</v>
      </c>
      <c r="I3" s="52" t="s">
        <v>107</v>
      </c>
      <c r="J3" s="53"/>
      <c r="K3" s="53"/>
      <c r="L3" s="53"/>
      <c r="M3" s="53"/>
      <c r="N3" s="54" t="s">
        <v>108</v>
      </c>
      <c r="O3" s="54"/>
      <c r="P3" s="54"/>
      <c r="Q3" s="54"/>
      <c r="R3" s="54"/>
    </row>
    <row r="4" spans="2:19" x14ac:dyDescent="0.25">
      <c r="B4" s="8" t="s">
        <v>19</v>
      </c>
      <c r="C4" s="8" t="s">
        <v>1</v>
      </c>
      <c r="D4" s="8" t="s">
        <v>8</v>
      </c>
      <c r="E4" s="8" t="s">
        <v>9</v>
      </c>
      <c r="F4" s="8" t="s">
        <v>10</v>
      </c>
      <c r="G4" s="8" t="s">
        <v>6</v>
      </c>
      <c r="I4" s="8" t="s">
        <v>1</v>
      </c>
      <c r="J4" s="8" t="s">
        <v>8</v>
      </c>
      <c r="K4" s="8" t="s">
        <v>9</v>
      </c>
      <c r="L4" s="8" t="s">
        <v>10</v>
      </c>
      <c r="M4" s="8" t="s">
        <v>6</v>
      </c>
      <c r="N4" s="8" t="s">
        <v>30</v>
      </c>
      <c r="O4" s="8" t="s">
        <v>26</v>
      </c>
      <c r="P4" s="8" t="s">
        <v>27</v>
      </c>
      <c r="Q4" s="8" t="s">
        <v>28</v>
      </c>
      <c r="R4" s="8" t="s">
        <v>29</v>
      </c>
    </row>
    <row r="5" spans="2:19" x14ac:dyDescent="0.25">
      <c r="B5" s="8" t="s">
        <v>17</v>
      </c>
      <c r="C5" s="8" t="s">
        <v>33</v>
      </c>
      <c r="D5" s="8" t="s">
        <v>33</v>
      </c>
      <c r="E5" s="8" t="s">
        <v>33</v>
      </c>
      <c r="F5" s="8" t="s">
        <v>33</v>
      </c>
      <c r="G5" s="8" t="s">
        <v>33</v>
      </c>
      <c r="H5" s="8" t="s">
        <v>24</v>
      </c>
      <c r="I5" s="8" t="s">
        <v>32</v>
      </c>
      <c r="J5" s="8" t="s">
        <v>32</v>
      </c>
      <c r="K5" s="8" t="s">
        <v>32</v>
      </c>
      <c r="L5" s="8" t="s">
        <v>32</v>
      </c>
      <c r="M5" s="8" t="s">
        <v>32</v>
      </c>
      <c r="N5" s="40" t="s">
        <v>31</v>
      </c>
      <c r="O5" s="40" t="s">
        <v>31</v>
      </c>
      <c r="P5" s="40" t="s">
        <v>31</v>
      </c>
      <c r="Q5" s="40" t="s">
        <v>31</v>
      </c>
      <c r="R5" s="42" t="s">
        <v>31</v>
      </c>
      <c r="S5" s="8"/>
    </row>
    <row r="6" spans="2:19" x14ac:dyDescent="0.25">
      <c r="B6" s="10">
        <v>1000</v>
      </c>
      <c r="C6" s="10">
        <v>2517</v>
      </c>
      <c r="D6" s="10">
        <v>4677</v>
      </c>
      <c r="E6" s="10">
        <v>4003</v>
      </c>
      <c r="F6" s="10">
        <v>14113</v>
      </c>
      <c r="G6" s="10">
        <v>17774</v>
      </c>
      <c r="H6" s="10">
        <v>300</v>
      </c>
      <c r="I6" s="9">
        <f>C6/300</f>
        <v>8.39</v>
      </c>
      <c r="J6" s="9">
        <f t="shared" ref="J6:M6" si="0">D6/300</f>
        <v>15.59</v>
      </c>
      <c r="K6" s="9">
        <f t="shared" si="0"/>
        <v>13.343333333333334</v>
      </c>
      <c r="L6" s="9">
        <f t="shared" si="0"/>
        <v>47.043333333333337</v>
      </c>
      <c r="M6" s="9">
        <f t="shared" si="0"/>
        <v>59.24666666666667</v>
      </c>
      <c r="N6" s="45">
        <f>1000/I6</f>
        <v>119.18951132300357</v>
      </c>
      <c r="O6" s="45">
        <f t="shared" ref="O6:R6" si="1">1000/J6</f>
        <v>64.143681847338044</v>
      </c>
      <c r="P6" s="45">
        <f t="shared" si="1"/>
        <v>74.943792155883088</v>
      </c>
      <c r="Q6" s="45">
        <f t="shared" si="1"/>
        <v>21.256997094877061</v>
      </c>
      <c r="R6" s="45">
        <f t="shared" si="1"/>
        <v>16.878586699673679</v>
      </c>
      <c r="S6" s="46"/>
    </row>
    <row r="7" spans="2:19" x14ac:dyDescent="0.25">
      <c r="B7">
        <v>77.2</v>
      </c>
      <c r="C7">
        <v>678</v>
      </c>
      <c r="D7">
        <v>831</v>
      </c>
      <c r="E7">
        <v>796</v>
      </c>
      <c r="F7">
        <v>2404</v>
      </c>
      <c r="G7">
        <v>1849</v>
      </c>
      <c r="H7">
        <v>300</v>
      </c>
      <c r="I7" s="9">
        <f t="shared" ref="I7:I8" si="2">C7/300</f>
        <v>2.2599999999999998</v>
      </c>
      <c r="J7" s="9">
        <f t="shared" ref="J7:J8" si="3">D7/300</f>
        <v>2.77</v>
      </c>
      <c r="K7" s="9">
        <f t="shared" ref="K7:K8" si="4">E7/300</f>
        <v>2.6533333333333333</v>
      </c>
      <c r="L7" s="9">
        <f t="shared" ref="L7:L8" si="5">F7/300</f>
        <v>8.0133333333333336</v>
      </c>
      <c r="M7" s="9">
        <f t="shared" ref="M7:M8" si="6">G7/300</f>
        <v>6.1633333333333331</v>
      </c>
      <c r="N7" s="45">
        <f>77.2/I7</f>
        <v>34.159292035398238</v>
      </c>
      <c r="O7" s="45">
        <f t="shared" ref="O7:R7" si="7">77.2/J7</f>
        <v>27.870036101083034</v>
      </c>
      <c r="P7" s="45">
        <f t="shared" si="7"/>
        <v>29.095477386934675</v>
      </c>
      <c r="Q7" s="45">
        <f t="shared" si="7"/>
        <v>9.6339434276206326</v>
      </c>
      <c r="R7" s="45">
        <f t="shared" si="7"/>
        <v>12.525689561925367</v>
      </c>
      <c r="S7" s="46"/>
    </row>
    <row r="8" spans="2:19" x14ac:dyDescent="0.25">
      <c r="B8">
        <v>27</v>
      </c>
      <c r="C8">
        <v>595</v>
      </c>
      <c r="D8">
        <v>691</v>
      </c>
      <c r="E8">
        <v>595</v>
      </c>
      <c r="F8">
        <v>1791</v>
      </c>
      <c r="G8">
        <v>907</v>
      </c>
      <c r="H8">
        <v>300</v>
      </c>
      <c r="I8" s="9">
        <f t="shared" si="2"/>
        <v>1.9833333333333334</v>
      </c>
      <c r="J8" s="9">
        <f t="shared" si="3"/>
        <v>2.3033333333333332</v>
      </c>
      <c r="K8" s="9">
        <f t="shared" si="4"/>
        <v>1.9833333333333334</v>
      </c>
      <c r="L8" s="9">
        <f t="shared" si="5"/>
        <v>5.97</v>
      </c>
      <c r="M8" s="9">
        <f t="shared" si="6"/>
        <v>3.0233333333333334</v>
      </c>
      <c r="N8" s="45">
        <f>27/I8</f>
        <v>13.61344537815126</v>
      </c>
      <c r="O8" s="45">
        <f t="shared" ref="O8:R8" si="8">27/J8</f>
        <v>11.722141823444284</v>
      </c>
      <c r="P8" s="45">
        <f t="shared" si="8"/>
        <v>13.61344537815126</v>
      </c>
      <c r="Q8" s="45">
        <f t="shared" si="8"/>
        <v>4.5226130653266337</v>
      </c>
      <c r="R8" s="45">
        <f t="shared" si="8"/>
        <v>8.9305402425578837</v>
      </c>
      <c r="S8" s="46"/>
    </row>
  </sheetData>
  <mergeCells count="3">
    <mergeCell ref="C3:G3"/>
    <mergeCell ref="I3:M3"/>
    <mergeCell ref="N3:R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8"/>
  <sheetViews>
    <sheetView workbookViewId="0">
      <selection activeCell="T53" sqref="T53"/>
    </sheetView>
  </sheetViews>
  <sheetFormatPr baseColWidth="10" defaultRowHeight="15" x14ac:dyDescent="0.25"/>
  <cols>
    <col min="2" max="2" width="17.42578125" bestFit="1" customWidth="1"/>
    <col min="3" max="3" width="15.140625" bestFit="1" customWidth="1"/>
    <col min="4" max="7" width="8.42578125" bestFit="1" customWidth="1"/>
    <col min="8" max="8" width="10.42578125" customWidth="1"/>
    <col min="9" max="9" width="9.85546875" bestFit="1" customWidth="1"/>
    <col min="10" max="10" width="5.7109375" bestFit="1" customWidth="1"/>
    <col min="11" max="11" width="7.140625" bestFit="1" customWidth="1"/>
    <col min="12" max="12" width="5.5703125" bestFit="1" customWidth="1"/>
    <col min="13" max="13" width="5.7109375" bestFit="1" customWidth="1"/>
    <col min="14" max="14" width="6.140625" bestFit="1" customWidth="1"/>
    <col min="15" max="15" width="5.5703125" bestFit="1" customWidth="1"/>
    <col min="16" max="19" width="7.7109375" bestFit="1" customWidth="1"/>
  </cols>
  <sheetData>
    <row r="1" spans="2:30" x14ac:dyDescent="0.25">
      <c r="U1" s="38" t="s">
        <v>88</v>
      </c>
      <c r="Y1" t="s">
        <v>95</v>
      </c>
    </row>
    <row r="2" spans="2:30" x14ac:dyDescent="0.25">
      <c r="C2" s="55" t="s">
        <v>55</v>
      </c>
      <c r="D2" s="55"/>
      <c r="E2" s="55"/>
      <c r="F2" s="55"/>
      <c r="G2" s="55"/>
      <c r="H2" s="4" t="s">
        <v>60</v>
      </c>
      <c r="U2" t="s">
        <v>68</v>
      </c>
      <c r="V2" t="s">
        <v>69</v>
      </c>
      <c r="Y2" t="s">
        <v>68</v>
      </c>
      <c r="Z2" t="s">
        <v>89</v>
      </c>
    </row>
    <row r="3" spans="2:30" x14ac:dyDescent="0.25">
      <c r="C3" s="59" t="s">
        <v>39</v>
      </c>
      <c r="D3" s="59"/>
      <c r="E3" s="59"/>
      <c r="F3" s="59"/>
      <c r="G3" s="59"/>
      <c r="H3" s="13" t="s">
        <v>40</v>
      </c>
      <c r="U3" t="s">
        <v>70</v>
      </c>
      <c r="V3" t="s">
        <v>71</v>
      </c>
      <c r="Y3" t="s">
        <v>70</v>
      </c>
      <c r="Z3" t="s">
        <v>90</v>
      </c>
    </row>
    <row r="4" spans="2:30" x14ac:dyDescent="0.25">
      <c r="C4" s="8" t="s">
        <v>30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29</v>
      </c>
      <c r="J4" s="8"/>
      <c r="U4" t="s">
        <v>72</v>
      </c>
      <c r="V4" t="s">
        <v>82</v>
      </c>
      <c r="Y4" t="s">
        <v>72</v>
      </c>
      <c r="Z4" t="s">
        <v>91</v>
      </c>
    </row>
    <row r="5" spans="2:30" x14ac:dyDescent="0.25"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U5" t="s">
        <v>77</v>
      </c>
      <c r="V5" t="s">
        <v>83</v>
      </c>
      <c r="Y5" t="s">
        <v>77</v>
      </c>
      <c r="Z5" t="s">
        <v>92</v>
      </c>
    </row>
    <row r="6" spans="2:30" x14ac:dyDescent="0.25">
      <c r="B6" t="s">
        <v>56</v>
      </c>
      <c r="C6">
        <v>12.685</v>
      </c>
      <c r="D6">
        <v>12.629</v>
      </c>
      <c r="E6">
        <v>13.867000000000001</v>
      </c>
      <c r="F6">
        <v>4.8079999999999998</v>
      </c>
      <c r="G6">
        <v>13.102</v>
      </c>
      <c r="H6">
        <v>18.7</v>
      </c>
      <c r="I6" t="s">
        <v>58</v>
      </c>
      <c r="U6" t="s">
        <v>78</v>
      </c>
      <c r="V6" t="s">
        <v>84</v>
      </c>
      <c r="Y6" t="s">
        <v>78</v>
      </c>
      <c r="Z6" t="s">
        <v>93</v>
      </c>
    </row>
    <row r="7" spans="2:30" x14ac:dyDescent="0.25">
      <c r="B7" s="23" t="s">
        <v>57</v>
      </c>
      <c r="C7" s="23"/>
      <c r="D7" s="23"/>
      <c r="E7" s="23"/>
      <c r="F7" s="23"/>
      <c r="G7" s="23"/>
      <c r="H7" s="23">
        <v>16.5</v>
      </c>
      <c r="I7" s="23" t="s">
        <v>59</v>
      </c>
      <c r="U7" t="s">
        <v>54</v>
      </c>
      <c r="V7" t="s">
        <v>85</v>
      </c>
      <c r="Y7" t="s">
        <v>54</v>
      </c>
      <c r="Z7" t="s">
        <v>94</v>
      </c>
    </row>
    <row r="8" spans="2:30" x14ac:dyDescent="0.25">
      <c r="B8" s="21"/>
      <c r="C8" s="21"/>
      <c r="D8" s="21"/>
      <c r="E8" s="21"/>
      <c r="F8" s="21"/>
      <c r="G8" s="21"/>
      <c r="H8" s="21"/>
      <c r="I8" s="21"/>
      <c r="U8" t="s">
        <v>73</v>
      </c>
      <c r="V8">
        <v>23.684229999999999</v>
      </c>
      <c r="Y8" t="s">
        <v>73</v>
      </c>
      <c r="Z8">
        <v>3.35609</v>
      </c>
    </row>
    <row r="9" spans="2:30" x14ac:dyDescent="0.25">
      <c r="B9" s="21"/>
      <c r="C9" s="21"/>
      <c r="D9" s="21"/>
      <c r="E9" s="21"/>
      <c r="F9" s="21"/>
      <c r="G9" s="21"/>
      <c r="H9" s="21"/>
      <c r="I9" s="21"/>
      <c r="U9" t="s">
        <v>74</v>
      </c>
      <c r="V9">
        <v>0.99960000000000004</v>
      </c>
      <c r="Y9" t="s">
        <v>74</v>
      </c>
      <c r="Z9">
        <v>0.99702000000000002</v>
      </c>
    </row>
    <row r="10" spans="2:30" x14ac:dyDescent="0.25">
      <c r="B10" s="21"/>
      <c r="C10" s="22"/>
      <c r="D10" s="22"/>
      <c r="E10" s="22"/>
      <c r="F10" s="22"/>
      <c r="G10" s="22"/>
      <c r="H10" s="21"/>
      <c r="I10" s="21"/>
      <c r="U10" t="s">
        <v>75</v>
      </c>
      <c r="V10">
        <v>0.99933000000000005</v>
      </c>
      <c r="Y10" t="s">
        <v>75</v>
      </c>
      <c r="Z10">
        <v>0.99502999999999997</v>
      </c>
    </row>
    <row r="11" spans="2:30" x14ac:dyDescent="0.25">
      <c r="B11" s="21"/>
      <c r="C11" s="8"/>
      <c r="D11" s="31"/>
      <c r="E11" s="31"/>
      <c r="F11" s="31"/>
      <c r="G11" s="8"/>
      <c r="H11" s="21"/>
      <c r="I11" s="21"/>
    </row>
    <row r="12" spans="2:30" x14ac:dyDescent="0.25">
      <c r="C12" s="4"/>
      <c r="D12" s="4"/>
      <c r="E12" s="4"/>
      <c r="F12" s="4"/>
      <c r="G12" s="4"/>
    </row>
    <row r="15" spans="2:30" x14ac:dyDescent="0.25">
      <c r="P15" t="s">
        <v>62</v>
      </c>
      <c r="U15" t="s">
        <v>98</v>
      </c>
    </row>
    <row r="16" spans="2:30" x14ac:dyDescent="0.25">
      <c r="C16" s="18" t="s">
        <v>53</v>
      </c>
      <c r="D16" s="56" t="s">
        <v>42</v>
      </c>
      <c r="E16" s="56"/>
      <c r="F16" s="56"/>
      <c r="G16" s="56"/>
      <c r="H16" s="56"/>
      <c r="I16" s="17" t="s">
        <v>48</v>
      </c>
      <c r="J16" s="57" t="s">
        <v>47</v>
      </c>
      <c r="K16" s="57"/>
      <c r="L16" s="57"/>
      <c r="M16" s="57"/>
      <c r="N16" s="17"/>
      <c r="O16" s="14" t="s">
        <v>50</v>
      </c>
      <c r="P16" s="58" t="s">
        <v>61</v>
      </c>
      <c r="Q16" s="55"/>
      <c r="R16" s="55"/>
      <c r="S16" s="55"/>
      <c r="U16" s="38" t="s">
        <v>86</v>
      </c>
      <c r="V16" s="38" t="s">
        <v>80</v>
      </c>
      <c r="W16" s="38"/>
      <c r="Y16" t="s">
        <v>80</v>
      </c>
      <c r="AD16" t="s">
        <v>81</v>
      </c>
    </row>
    <row r="17" spans="2:35" x14ac:dyDescent="0.25">
      <c r="D17" s="8" t="s">
        <v>1</v>
      </c>
      <c r="E17" s="8" t="s">
        <v>8</v>
      </c>
      <c r="F17" s="8" t="s">
        <v>9</v>
      </c>
      <c r="G17" s="8" t="s">
        <v>10</v>
      </c>
      <c r="H17" s="8" t="s">
        <v>6</v>
      </c>
      <c r="I17" s="8" t="s">
        <v>49</v>
      </c>
      <c r="J17" s="8" t="s">
        <v>43</v>
      </c>
      <c r="K17" s="8" t="s">
        <v>44</v>
      </c>
      <c r="L17" s="8" t="s">
        <v>45</v>
      </c>
      <c r="M17" s="8" t="s">
        <v>46</v>
      </c>
      <c r="N17" s="24" t="s">
        <v>51</v>
      </c>
      <c r="O17" s="8" t="s">
        <v>49</v>
      </c>
      <c r="P17" s="8" t="s">
        <v>43</v>
      </c>
      <c r="Q17" s="8" t="s">
        <v>44</v>
      </c>
      <c r="R17" s="8" t="s">
        <v>45</v>
      </c>
      <c r="S17" s="8" t="s">
        <v>46</v>
      </c>
      <c r="U17" s="8" t="s">
        <v>87</v>
      </c>
      <c r="V17" s="8" t="s">
        <v>87</v>
      </c>
      <c r="W17" s="8" t="s">
        <v>87</v>
      </c>
      <c r="Y17" s="8" t="s">
        <v>43</v>
      </c>
      <c r="Z17" s="8" t="s">
        <v>43</v>
      </c>
      <c r="AA17" s="8" t="s">
        <v>44</v>
      </c>
      <c r="AB17" s="8" t="s">
        <v>45</v>
      </c>
      <c r="AC17" s="8" t="s">
        <v>46</v>
      </c>
      <c r="AE17" s="8" t="s">
        <v>43</v>
      </c>
      <c r="AF17" s="8" t="s">
        <v>44</v>
      </c>
      <c r="AG17" s="8" t="s">
        <v>45</v>
      </c>
      <c r="AH17" s="8" t="s">
        <v>46</v>
      </c>
    </row>
    <row r="18" spans="2:35" x14ac:dyDescent="0.25">
      <c r="C18" t="s">
        <v>18</v>
      </c>
      <c r="D18" s="4" t="s">
        <v>32</v>
      </c>
      <c r="E18" s="4" t="s">
        <v>32</v>
      </c>
      <c r="F18" s="4" t="s">
        <v>32</v>
      </c>
      <c r="G18" s="4" t="s">
        <v>32</v>
      </c>
      <c r="H18" s="4" t="s">
        <v>32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25" t="s">
        <v>17</v>
      </c>
      <c r="O18" s="15" t="s">
        <v>17</v>
      </c>
      <c r="P18" s="4" t="s">
        <v>17</v>
      </c>
      <c r="Q18" s="4" t="s">
        <v>17</v>
      </c>
      <c r="R18" s="4" t="s">
        <v>17</v>
      </c>
      <c r="S18" s="4" t="s">
        <v>17</v>
      </c>
      <c r="U18" s="35" t="s">
        <v>17</v>
      </c>
      <c r="V18" s="35" t="s">
        <v>79</v>
      </c>
      <c r="W18" s="35" t="s">
        <v>17</v>
      </c>
      <c r="Y18" s="33" t="s">
        <v>79</v>
      </c>
      <c r="Z18" s="35" t="s">
        <v>17</v>
      </c>
      <c r="AA18" s="33" t="s">
        <v>79</v>
      </c>
      <c r="AB18" s="33" t="s">
        <v>79</v>
      </c>
      <c r="AC18" s="33" t="s">
        <v>79</v>
      </c>
      <c r="AE18" s="34" t="s">
        <v>79</v>
      </c>
      <c r="AF18" s="34" t="s">
        <v>79</v>
      </c>
      <c r="AG18" s="34" t="s">
        <v>79</v>
      </c>
      <c r="AH18" s="34" t="s">
        <v>79</v>
      </c>
    </row>
    <row r="19" spans="2:35" x14ac:dyDescent="0.25">
      <c r="B19" s="4" t="s">
        <v>41</v>
      </c>
      <c r="N19" s="23"/>
      <c r="O19" s="16"/>
    </row>
    <row r="20" spans="2:35" x14ac:dyDescent="0.25">
      <c r="B20">
        <v>1</v>
      </c>
      <c r="C20" s="5">
        <v>44111.651388888888</v>
      </c>
      <c r="D20">
        <v>17.22</v>
      </c>
      <c r="E20">
        <v>21.39</v>
      </c>
      <c r="F20">
        <v>18.940000000000001</v>
      </c>
      <c r="G20">
        <v>59.32</v>
      </c>
      <c r="H20">
        <v>42.68</v>
      </c>
      <c r="I20" s="20">
        <v>200</v>
      </c>
      <c r="J20" s="1">
        <f>D20*C6</f>
        <v>218.4357</v>
      </c>
      <c r="K20" s="1">
        <f t="shared" ref="K20:N20" si="0">E20*D6</f>
        <v>270.13430999999997</v>
      </c>
      <c r="L20" s="1">
        <f t="shared" si="0"/>
        <v>262.64098000000001</v>
      </c>
      <c r="M20" s="1">
        <f t="shared" si="0"/>
        <v>285.21055999999999</v>
      </c>
      <c r="N20" s="26">
        <f t="shared" si="0"/>
        <v>559.19335999999998</v>
      </c>
      <c r="O20" s="19">
        <v>500</v>
      </c>
      <c r="P20" s="1">
        <f>($H$20-(D20*C6/$G$6))*$H$6</f>
        <v>486.35080460998319</v>
      </c>
      <c r="Q20" s="1">
        <f>($H$20-(E20*D6/$G$6))*$H$6</f>
        <v>412.5632907189742</v>
      </c>
      <c r="R20" s="1">
        <f>($H$20-(F20*E6/$G$6))*$H$6</f>
        <v>423.25824347427869</v>
      </c>
      <c r="S20" s="1">
        <f>($H$20-(G20*F6/$G$6))*$H$6</f>
        <v>391.04551671500531</v>
      </c>
      <c r="U20" s="1">
        <f>LN((P20-1316.11654)/-1305.30051)*(-1)*1107.00947</f>
        <v>501.52527656383546</v>
      </c>
      <c r="V20" s="36">
        <f>(1-(U20/O20))*-100</f>
        <v>0.30505531276709963</v>
      </c>
      <c r="W20" s="1">
        <f>U20-O20</f>
        <v>1.5252765638354617</v>
      </c>
      <c r="X20" s="9"/>
      <c r="Y20" s="36">
        <f>(1-(P20/$O$20))*-100</f>
        <v>-2.7298390780033599</v>
      </c>
      <c r="Z20" s="39">
        <f>P20-O20</f>
        <v>-13.649195390016814</v>
      </c>
      <c r="AA20" s="9">
        <f t="shared" ref="AA20:AB20" si="1">(1-(Q20/$O$20))*-100</f>
        <v>-17.487341856205163</v>
      </c>
      <c r="AB20" s="9">
        <f t="shared" si="1"/>
        <v>-15.348351305144259</v>
      </c>
      <c r="AC20" s="9">
        <f>(1-(S20/$O$20))*-100</f>
        <v>-21.790896656998939</v>
      </c>
      <c r="AE20" s="36">
        <f>(1-(J20/$I$20))*-100</f>
        <v>9.217849999999995</v>
      </c>
      <c r="AF20" s="9">
        <f t="shared" ref="AF20:AH20" si="2">(1-(K20/$I$20))*-100</f>
        <v>35.067154999999993</v>
      </c>
      <c r="AG20" s="9">
        <f t="shared" si="2"/>
        <v>31.320490000000014</v>
      </c>
      <c r="AH20" s="9">
        <f t="shared" si="2"/>
        <v>42.605279999999993</v>
      </c>
      <c r="AI20" s="9"/>
    </row>
    <row r="21" spans="2:35" x14ac:dyDescent="0.25">
      <c r="B21">
        <v>2</v>
      </c>
      <c r="C21" s="3">
        <v>44117.317361111112</v>
      </c>
      <c r="D21">
        <v>15.36</v>
      </c>
      <c r="E21">
        <v>17.48</v>
      </c>
      <c r="F21">
        <v>16.66</v>
      </c>
      <c r="G21">
        <v>49.3</v>
      </c>
      <c r="H21">
        <v>32.18</v>
      </c>
      <c r="I21" s="20">
        <v>195.2</v>
      </c>
      <c r="J21" s="1">
        <f>D21*C6</f>
        <v>194.8416</v>
      </c>
      <c r="K21" s="1">
        <f t="shared" ref="K21:N21" si="3">E21*D6</f>
        <v>220.75492</v>
      </c>
      <c r="L21" s="1">
        <f t="shared" si="3"/>
        <v>231.02422000000001</v>
      </c>
      <c r="M21" s="1">
        <f t="shared" si="3"/>
        <v>237.03439999999998</v>
      </c>
      <c r="N21" s="26">
        <f t="shared" si="3"/>
        <v>421.62236000000001</v>
      </c>
      <c r="O21" s="19">
        <v>306.8</v>
      </c>
      <c r="P21" s="1">
        <f>($H$21-(D21*C6/$G$6))*$H$6</f>
        <v>323.67579087162267</v>
      </c>
      <c r="Q21" s="1">
        <f t="shared" ref="Q21:S21" si="4">($H$21-(E21*D6/$G$6))*$H$6</f>
        <v>286.69066768432299</v>
      </c>
      <c r="R21" s="1">
        <f t="shared" si="4"/>
        <v>272.03367562204244</v>
      </c>
      <c r="S21" s="1">
        <f t="shared" si="4"/>
        <v>263.45556800488475</v>
      </c>
      <c r="U21" s="1">
        <f t="shared" ref="U21:U24" si="5">LN((P21-1316.11654)/-1305.30051)*(-1)*1107.00947</f>
        <v>303.34412641536693</v>
      </c>
      <c r="V21" s="36">
        <f t="shared" ref="V21:V26" si="6">(1-(U21/O21))*-100</f>
        <v>-1.1264255490981312</v>
      </c>
      <c r="W21" s="1">
        <f t="shared" ref="W21:W26" si="7">U21-O21</f>
        <v>-3.4558735846330819</v>
      </c>
      <c r="X21" s="9"/>
      <c r="Y21" s="36">
        <f>(1-(P21/$O$21))*-100</f>
        <v>5.5005837260829971</v>
      </c>
      <c r="Z21" s="39">
        <f t="shared" ref="Z21:Z26" si="8">P21-O21</f>
        <v>16.875790871622655</v>
      </c>
      <c r="AA21" s="36">
        <f t="shared" ref="AA21:AC21" si="9">(1-(Q21/$O$21))*-100</f>
        <v>-6.5545411719938107</v>
      </c>
      <c r="AB21" s="9">
        <f t="shared" si="9"/>
        <v>-11.331917984992689</v>
      </c>
      <c r="AC21" s="9">
        <f t="shared" si="9"/>
        <v>-14.127911341302235</v>
      </c>
      <c r="AE21" s="36">
        <f>(1-(J21/$I$21))*-100</f>
        <v>-0.18360655737704734</v>
      </c>
      <c r="AF21" s="9">
        <f t="shared" ref="AF21:AH21" si="10">(1-(K21/$I$21))*-100</f>
        <v>13.091659836065572</v>
      </c>
      <c r="AG21" s="9">
        <f t="shared" si="10"/>
        <v>18.352571721311485</v>
      </c>
      <c r="AH21" s="9">
        <f t="shared" si="10"/>
        <v>21.431557377049181</v>
      </c>
    </row>
    <row r="22" spans="2:35" x14ac:dyDescent="0.25">
      <c r="B22">
        <v>3</v>
      </c>
      <c r="C22" s="3">
        <v>44131.804861111108</v>
      </c>
      <c r="D22">
        <v>13.26</v>
      </c>
      <c r="E22">
        <v>13.66</v>
      </c>
      <c r="F22">
        <v>13.23</v>
      </c>
      <c r="G22">
        <v>37.86</v>
      </c>
      <c r="H22">
        <v>18.93</v>
      </c>
      <c r="I22" s="20">
        <v>183.3</v>
      </c>
      <c r="J22" s="1">
        <f>D22*C6</f>
        <v>168.20310000000001</v>
      </c>
      <c r="K22" s="1">
        <f t="shared" ref="K22:N22" si="11">E22*D6</f>
        <v>172.51213999999999</v>
      </c>
      <c r="L22" s="1">
        <f t="shared" si="11"/>
        <v>183.46041000000002</v>
      </c>
      <c r="M22" s="1">
        <f t="shared" si="11"/>
        <v>182.03088</v>
      </c>
      <c r="N22" s="26">
        <f t="shared" si="11"/>
        <v>248.02086</v>
      </c>
      <c r="O22" s="19">
        <v>88</v>
      </c>
      <c r="P22" s="1">
        <f>($H$22-(D22*C6/$G$6))*$H$6</f>
        <v>113.920936650893</v>
      </c>
      <c r="Q22" s="1">
        <f t="shared" ref="Q22:S22" si="12">($H$22-(E22*D6/$G$6))*$H$6</f>
        <v>107.77080323614716</v>
      </c>
      <c r="R22" s="1">
        <f t="shared" si="12"/>
        <v>92.144742405739535</v>
      </c>
      <c r="S22" s="1">
        <f t="shared" si="12"/>
        <v>94.185057701114332</v>
      </c>
      <c r="U22" s="1">
        <f t="shared" si="5"/>
        <v>91.088874626953924</v>
      </c>
      <c r="V22" s="36">
        <f t="shared" si="6"/>
        <v>3.5100848033567278</v>
      </c>
      <c r="W22" s="1">
        <f t="shared" si="7"/>
        <v>3.088874626953924</v>
      </c>
      <c r="X22" s="9"/>
      <c r="Y22" s="9">
        <f>(1-(P22/$O$22))*-100</f>
        <v>29.455609830560213</v>
      </c>
      <c r="Z22" s="39">
        <f t="shared" si="8"/>
        <v>25.920936650892997</v>
      </c>
      <c r="AA22" s="9">
        <f t="shared" ref="AA22:AC22" si="13">(1-(Q22/$O$22))*-100</f>
        <v>22.466821859258147</v>
      </c>
      <c r="AB22" s="36">
        <f t="shared" si="13"/>
        <v>4.7099345519767466</v>
      </c>
      <c r="AC22" s="36">
        <f t="shared" si="13"/>
        <v>7.0284746603571868</v>
      </c>
      <c r="AE22" s="36">
        <f>(1-(J22/$I$22))*-100</f>
        <v>-8.2361702127659591</v>
      </c>
      <c r="AF22" s="36">
        <f t="shared" ref="AF22:AH22" si="14">(1-(K22/$I$22))*-100</f>
        <v>-5.8853573376977719</v>
      </c>
      <c r="AG22" s="36">
        <f t="shared" si="14"/>
        <v>8.7512274959089531E-2</v>
      </c>
      <c r="AH22" s="36">
        <f t="shared" si="14"/>
        <v>-0.69237315875614325</v>
      </c>
    </row>
    <row r="23" spans="2:35" x14ac:dyDescent="0.25">
      <c r="B23">
        <v>4</v>
      </c>
      <c r="C23" s="3">
        <v>44141.354166666664</v>
      </c>
      <c r="D23">
        <v>12.41</v>
      </c>
      <c r="E23">
        <v>12.48</v>
      </c>
      <c r="F23">
        <v>12.17</v>
      </c>
      <c r="G23">
        <v>34.08</v>
      </c>
      <c r="H23">
        <v>15.19</v>
      </c>
      <c r="I23" s="20">
        <v>175.9</v>
      </c>
      <c r="J23" s="1">
        <f>D23*C6</f>
        <v>157.42085</v>
      </c>
      <c r="K23" s="1">
        <f t="shared" ref="K23:N23" si="15">E23*D6</f>
        <v>157.60991999999999</v>
      </c>
      <c r="L23" s="1">
        <f t="shared" si="15"/>
        <v>168.76139000000001</v>
      </c>
      <c r="M23" s="1">
        <f t="shared" si="15"/>
        <v>163.85664</v>
      </c>
      <c r="N23" s="26">
        <f t="shared" si="15"/>
        <v>199.01938000000001</v>
      </c>
      <c r="O23" s="19">
        <v>38.6</v>
      </c>
      <c r="P23" s="1">
        <f>($H$23-(D23*C6/$G$6))*$H$6</f>
        <v>59.372043275835743</v>
      </c>
      <c r="Q23" s="1">
        <f t="shared" ref="Q23:S23" si="16">($H$23-(E23*D6/$G$6))*$H$6</f>
        <v>59.102190657914846</v>
      </c>
      <c r="R23" s="1">
        <f t="shared" si="16"/>
        <v>43.186109983208638</v>
      </c>
      <c r="S23" s="1">
        <f t="shared" si="16"/>
        <v>50.186478247595787</v>
      </c>
      <c r="U23" s="1">
        <f t="shared" si="5"/>
        <v>41.965229586129738</v>
      </c>
      <c r="V23" s="36">
        <f t="shared" si="6"/>
        <v>8.7182113630304148</v>
      </c>
      <c r="W23" s="1">
        <f t="shared" si="7"/>
        <v>3.3652295861297361</v>
      </c>
      <c r="X23" s="9"/>
      <c r="Y23" s="9">
        <f>(1-(P23/$O$23))*-100</f>
        <v>53.813583616154759</v>
      </c>
      <c r="Z23" s="39">
        <f t="shared" si="8"/>
        <v>20.772043275835742</v>
      </c>
      <c r="AA23" s="9">
        <f t="shared" ref="AA23:AC23" si="17">(1-(Q23/$O$23))*-100</f>
        <v>53.114483569727568</v>
      </c>
      <c r="AB23" s="9">
        <f t="shared" si="17"/>
        <v>11.881113946136356</v>
      </c>
      <c r="AC23" s="9">
        <f t="shared" si="17"/>
        <v>30.016783024859549</v>
      </c>
      <c r="AE23" s="9">
        <f>(1-(J23/$I$23))*-100</f>
        <v>-10.505486071631609</v>
      </c>
      <c r="AF23" s="9">
        <f t="shared" ref="AF23:AH23" si="18">(1-(K23/$I$23))*-100</f>
        <v>-10.397998862990343</v>
      </c>
      <c r="AG23" s="36">
        <f t="shared" si="18"/>
        <v>-4.0583342808413914</v>
      </c>
      <c r="AH23" s="36">
        <f t="shared" si="18"/>
        <v>-6.8467083570210363</v>
      </c>
    </row>
    <row r="24" spans="2:35" x14ac:dyDescent="0.25">
      <c r="B24">
        <v>5</v>
      </c>
      <c r="C24" s="3">
        <v>44144.645833333336</v>
      </c>
      <c r="D24" s="9">
        <v>12.548333333333334</v>
      </c>
      <c r="E24" s="9">
        <v>12.863055555555556</v>
      </c>
      <c r="F24" s="9">
        <v>11.929722222222223</v>
      </c>
      <c r="G24" s="9">
        <v>34.349722222222219</v>
      </c>
      <c r="H24" s="9">
        <v>14.569722222222222</v>
      </c>
      <c r="I24" s="20">
        <v>173.4</v>
      </c>
      <c r="J24" s="1">
        <f>D24*C6</f>
        <v>159.17560833333334</v>
      </c>
      <c r="K24" s="1">
        <f t="shared" ref="K24:N24" si="19">E24*D6</f>
        <v>162.44752861111112</v>
      </c>
      <c r="L24" s="1">
        <f t="shared" si="19"/>
        <v>165.42945805555559</v>
      </c>
      <c r="M24" s="1">
        <f t="shared" si="19"/>
        <v>165.15346444444441</v>
      </c>
      <c r="N24" s="26">
        <f t="shared" si="19"/>
        <v>190.89250055555556</v>
      </c>
      <c r="O24" s="19">
        <v>29.1</v>
      </c>
      <c r="P24" s="1">
        <f>($H$24-(D24*C6/$G$6))*$H$6</f>
        <v>45.268347164979019</v>
      </c>
      <c r="Q24" s="1">
        <f t="shared" ref="Q24:S24" si="20">($H$24-(E24*D6/$G$6))*$H$6</f>
        <v>40.598456370104607</v>
      </c>
      <c r="R24" s="1">
        <f t="shared" si="20"/>
        <v>36.342458765837208</v>
      </c>
      <c r="S24" s="1">
        <f t="shared" si="20"/>
        <v>36.736374238877922</v>
      </c>
      <c r="U24" s="1">
        <f t="shared" si="5"/>
        <v>29.611113148430345</v>
      </c>
      <c r="V24" s="36">
        <f t="shared" si="6"/>
        <v>1.7564025719255749</v>
      </c>
      <c r="W24" s="1">
        <f t="shared" si="7"/>
        <v>0.5111131484303435</v>
      </c>
      <c r="X24" s="9"/>
      <c r="Y24" s="9">
        <f>(1-(P24/$O$24))*-100</f>
        <v>55.561330463845415</v>
      </c>
      <c r="Z24" s="39">
        <f t="shared" si="8"/>
        <v>16.168347164979018</v>
      </c>
      <c r="AA24" s="9">
        <f t="shared" ref="AA24:AC24" si="21">(1-(Q24/$O$24))*-100</f>
        <v>39.513595773555352</v>
      </c>
      <c r="AB24" s="9">
        <f t="shared" si="21"/>
        <v>24.888174453048826</v>
      </c>
      <c r="AC24" s="9">
        <f t="shared" si="21"/>
        <v>26.241835872432716</v>
      </c>
      <c r="AE24" s="36">
        <f>(1-(J24/$I$24))*-100</f>
        <v>-8.2032247212610478</v>
      </c>
      <c r="AF24" s="36">
        <f t="shared" ref="AF24:AH24" si="22">(1-(K24/$I$24))*-100</f>
        <v>-6.3163041458413343</v>
      </c>
      <c r="AG24" s="36">
        <f t="shared" si="22"/>
        <v>-4.596621651928734</v>
      </c>
      <c r="AH24" s="36">
        <f t="shared" si="22"/>
        <v>-4.7557875176214459</v>
      </c>
    </row>
    <row r="25" spans="2:35" x14ac:dyDescent="0.25">
      <c r="B25">
        <v>6</v>
      </c>
      <c r="C25" s="3">
        <v>44153.614583333336</v>
      </c>
      <c r="D25" s="9">
        <v>12.05</v>
      </c>
      <c r="E25" s="9">
        <v>11.696666666666667</v>
      </c>
      <c r="F25" s="9">
        <v>11.25</v>
      </c>
      <c r="G25" s="9">
        <v>31.836666666666666</v>
      </c>
      <c r="H25" s="9">
        <v>12.773333333333333</v>
      </c>
      <c r="I25" s="20">
        <v>166.8</v>
      </c>
      <c r="J25" s="1">
        <f>D25*C6</f>
        <v>152.85425000000001</v>
      </c>
      <c r="K25" s="1">
        <f t="shared" ref="K25:N25" si="23">E25*D6</f>
        <v>147.71720333333334</v>
      </c>
      <c r="L25" s="1">
        <f t="shared" si="23"/>
        <v>156.00375</v>
      </c>
      <c r="M25" s="1">
        <f t="shared" si="23"/>
        <v>153.07069333333334</v>
      </c>
      <c r="N25" s="32">
        <f t="shared" si="23"/>
        <v>167.35621333333333</v>
      </c>
      <c r="O25" s="19">
        <v>13.4</v>
      </c>
      <c r="P25" s="1">
        <f>($H$25-(D25*C6/$G$6))*$H$6</f>
        <v>20.698115885615433</v>
      </c>
      <c r="Q25" s="1">
        <f t="shared" ref="Q25:S25" si="24">($H$25-(E25*D6/$G$6))*$H$6</f>
        <v>28.030032590444197</v>
      </c>
      <c r="R25" s="1">
        <f t="shared" si="24"/>
        <v>16.202951025288765</v>
      </c>
      <c r="S25" s="1">
        <f t="shared" si="24"/>
        <v>20.389194321477639</v>
      </c>
      <c r="U25" s="1">
        <f>LN((P25-1316.11654)/-1305.30051)*(-1)*1107.00947</f>
        <v>8.4127624593067853</v>
      </c>
      <c r="V25" s="39">
        <f t="shared" si="6"/>
        <v>-37.218190602188173</v>
      </c>
      <c r="W25" s="1">
        <f t="shared" si="7"/>
        <v>-4.987237540693215</v>
      </c>
      <c r="X25" s="9"/>
      <c r="Y25" s="9">
        <f>(1-(P25/$O$25))*-100</f>
        <v>54.463551385189788</v>
      </c>
      <c r="Z25" s="39">
        <f t="shared" si="8"/>
        <v>7.2981158856154327</v>
      </c>
      <c r="AA25" s="9">
        <f t="shared" ref="AA25:AC25" si="25">(1-(Q25/$O$25))*-100</f>
        <v>109.17934768988205</v>
      </c>
      <c r="AB25" s="9">
        <f t="shared" si="25"/>
        <v>20.917544964841529</v>
      </c>
      <c r="AC25" s="9">
        <f t="shared" si="25"/>
        <v>52.15816657819132</v>
      </c>
      <c r="AE25" s="36">
        <f>(1-(J25/$I$25))*-100</f>
        <v>-8.3607613908872942</v>
      </c>
      <c r="AF25" s="9">
        <f t="shared" ref="AF25:AH25" si="26">(1-(K25/$I$25))*-100</f>
        <v>-11.440525579536365</v>
      </c>
      <c r="AG25" s="36">
        <f t="shared" si="26"/>
        <v>-6.4725719424460486</v>
      </c>
      <c r="AH25" s="36">
        <f t="shared" si="26"/>
        <v>-8.2309992006394879</v>
      </c>
    </row>
    <row r="26" spans="2:35" x14ac:dyDescent="0.25">
      <c r="B26">
        <v>7</v>
      </c>
      <c r="C26" s="3">
        <v>44165.375</v>
      </c>
      <c r="D26" s="9">
        <v>11.13</v>
      </c>
      <c r="E26" s="9">
        <v>11.373333333333333</v>
      </c>
      <c r="F26" s="9">
        <v>10.3</v>
      </c>
      <c r="G26" s="9">
        <v>30.1</v>
      </c>
      <c r="H26" s="9">
        <v>12.14</v>
      </c>
      <c r="I26" s="20">
        <v>158.6</v>
      </c>
      <c r="J26" s="1">
        <f>D26*C6</f>
        <v>141.18405000000001</v>
      </c>
      <c r="K26" s="1">
        <f t="shared" ref="K26:N26" si="27">E26*D6</f>
        <v>143.63382666666666</v>
      </c>
      <c r="L26" s="1">
        <f t="shared" si="27"/>
        <v>142.83010000000002</v>
      </c>
      <c r="M26" s="1">
        <f t="shared" si="27"/>
        <v>144.7208</v>
      </c>
      <c r="N26" s="41">
        <f t="shared" si="27"/>
        <v>159.05828000000002</v>
      </c>
      <c r="O26" s="19">
        <v>4.9000000000000004</v>
      </c>
      <c r="P26" s="1">
        <f>($H$26-(D26*C6/$G$6))*$H$6</f>
        <v>25.511227369867193</v>
      </c>
      <c r="Q26" s="1">
        <f t="shared" ref="Q26:S26" si="28">($H$26-(E26*D6/$G$6))*$H$6</f>
        <v>22.014751742736511</v>
      </c>
      <c r="R26" s="1">
        <f t="shared" si="28"/>
        <v>23.161881086856976</v>
      </c>
      <c r="S26" s="1">
        <f t="shared" si="28"/>
        <v>20.463354907647716</v>
      </c>
      <c r="U26" s="1">
        <f>LN((P26-1316.11654)/-1305.30051)*(-1)*1107.00947</f>
        <v>12.533502783468098</v>
      </c>
      <c r="V26" s="39">
        <f t="shared" si="6"/>
        <v>155.78577109118564</v>
      </c>
      <c r="W26" s="1">
        <f t="shared" si="7"/>
        <v>7.6335027834680975</v>
      </c>
      <c r="X26" s="9"/>
      <c r="Y26" s="9">
        <f>(1-(P26/$O$26))*-100</f>
        <v>420.63729326259568</v>
      </c>
      <c r="Z26" s="39">
        <f t="shared" si="8"/>
        <v>20.611227369867194</v>
      </c>
      <c r="AA26" s="9">
        <f>(1-(Q26/$O$26))*-100</f>
        <v>349.28064781094912</v>
      </c>
      <c r="AB26" s="9">
        <f t="shared" ref="AB26:AC26" si="29">(1-(R26/$O$26))*-100</f>
        <v>372.69145075218313</v>
      </c>
      <c r="AC26" s="9">
        <f t="shared" si="29"/>
        <v>317.61948791117788</v>
      </c>
      <c r="AE26" s="39">
        <f>(1-(J26/$I$26))*-100</f>
        <v>-10.981052963430004</v>
      </c>
      <c r="AF26" s="36">
        <f t="shared" ref="AF26:AH26" si="30">(1-(K26/$I$26))*-100</f>
        <v>-9.4364270701975617</v>
      </c>
      <c r="AG26" s="36">
        <f t="shared" si="30"/>
        <v>-9.9431904161412241</v>
      </c>
      <c r="AH26" s="36">
        <f t="shared" si="30"/>
        <v>-8.7510718789407314</v>
      </c>
    </row>
    <row r="27" spans="2:35" x14ac:dyDescent="0.25">
      <c r="Y27" s="9"/>
    </row>
    <row r="28" spans="2:35" x14ac:dyDescent="0.25">
      <c r="P28" t="s">
        <v>63</v>
      </c>
      <c r="Y28" s="9"/>
    </row>
    <row r="29" spans="2:35" x14ac:dyDescent="0.25">
      <c r="C29" s="18" t="s">
        <v>53</v>
      </c>
      <c r="D29" s="56" t="s">
        <v>42</v>
      </c>
      <c r="E29" s="56"/>
      <c r="F29" s="56"/>
      <c r="G29" s="56"/>
      <c r="H29" s="56"/>
      <c r="I29" s="17" t="s">
        <v>48</v>
      </c>
      <c r="J29" s="57" t="s">
        <v>47</v>
      </c>
      <c r="K29" s="57"/>
      <c r="L29" s="57"/>
      <c r="M29" s="57"/>
      <c r="N29" s="17"/>
      <c r="O29" s="14" t="s">
        <v>50</v>
      </c>
      <c r="P29" s="58" t="s">
        <v>61</v>
      </c>
      <c r="Q29" s="55"/>
      <c r="R29" s="55"/>
      <c r="S29" s="55"/>
      <c r="V29" t="s">
        <v>97</v>
      </c>
      <c r="Y29" s="9"/>
    </row>
    <row r="30" spans="2:35" x14ac:dyDescent="0.25">
      <c r="D30" s="8" t="s">
        <v>1</v>
      </c>
      <c r="E30" s="8" t="s">
        <v>8</v>
      </c>
      <c r="F30" s="8" t="s">
        <v>9</v>
      </c>
      <c r="G30" s="8" t="s">
        <v>10</v>
      </c>
      <c r="H30" s="8" t="s">
        <v>6</v>
      </c>
      <c r="I30" s="8" t="s">
        <v>49</v>
      </c>
      <c r="J30" s="8" t="s">
        <v>43</v>
      </c>
      <c r="K30" s="8" t="s">
        <v>96</v>
      </c>
      <c r="L30" s="8" t="s">
        <v>44</v>
      </c>
      <c r="M30" s="8" t="s">
        <v>45</v>
      </c>
      <c r="N30" s="8" t="s">
        <v>46</v>
      </c>
      <c r="O30" s="24" t="s">
        <v>51</v>
      </c>
      <c r="P30" s="8" t="s">
        <v>49</v>
      </c>
      <c r="Q30" s="8" t="s">
        <v>43</v>
      </c>
      <c r="R30" s="8" t="s">
        <v>44</v>
      </c>
      <c r="S30" s="8" t="s">
        <v>45</v>
      </c>
      <c r="T30" s="8" t="s">
        <v>46</v>
      </c>
      <c r="V30" s="8" t="s">
        <v>87</v>
      </c>
      <c r="W30" s="8" t="s">
        <v>87</v>
      </c>
      <c r="Z30" s="9"/>
    </row>
    <row r="31" spans="2:35" x14ac:dyDescent="0.25">
      <c r="C31" t="s">
        <v>18</v>
      </c>
      <c r="D31" s="4" t="s">
        <v>32</v>
      </c>
      <c r="E31" s="4" t="s">
        <v>32</v>
      </c>
      <c r="F31" s="4" t="s">
        <v>32</v>
      </c>
      <c r="G31" s="4" t="s">
        <v>32</v>
      </c>
      <c r="H31" s="4" t="s">
        <v>32</v>
      </c>
      <c r="I31" s="4" t="s">
        <v>17</v>
      </c>
      <c r="J31" s="4" t="s">
        <v>17</v>
      </c>
      <c r="K31" s="37" t="s">
        <v>17</v>
      </c>
      <c r="L31" s="4" t="s">
        <v>17</v>
      </c>
      <c r="M31" s="4" t="s">
        <v>17</v>
      </c>
      <c r="N31" s="4" t="s">
        <v>17</v>
      </c>
      <c r="O31" s="25" t="s">
        <v>17</v>
      </c>
      <c r="P31" s="15" t="s">
        <v>17</v>
      </c>
      <c r="Q31" s="4" t="s">
        <v>17</v>
      </c>
      <c r="R31" s="4" t="s">
        <v>17</v>
      </c>
      <c r="S31" s="4" t="s">
        <v>17</v>
      </c>
      <c r="T31" s="4" t="s">
        <v>17</v>
      </c>
      <c r="V31" s="37" t="s">
        <v>79</v>
      </c>
      <c r="W31" s="37" t="s">
        <v>17</v>
      </c>
      <c r="Z31" s="9"/>
    </row>
    <row r="32" spans="2:35" x14ac:dyDescent="0.25">
      <c r="B32" s="4" t="s">
        <v>41</v>
      </c>
      <c r="O32" s="23"/>
      <c r="P32" s="16"/>
      <c r="Z32" s="9"/>
    </row>
    <row r="33" spans="2:26" x14ac:dyDescent="0.25">
      <c r="B33">
        <v>1</v>
      </c>
      <c r="C33" s="5">
        <v>44111.651388888888</v>
      </c>
      <c r="D33">
        <v>17.22</v>
      </c>
      <c r="E33">
        <v>21.39</v>
      </c>
      <c r="F33">
        <v>18.940000000000001</v>
      </c>
      <c r="G33">
        <v>59.32</v>
      </c>
      <c r="H33">
        <v>42.68</v>
      </c>
      <c r="I33" s="20">
        <v>200</v>
      </c>
      <c r="J33" s="1">
        <f>D33*C6</f>
        <v>218.4357</v>
      </c>
      <c r="K33" s="1">
        <f>LN((J33-149.03281)/0.00000735872)*12.45915</f>
        <v>200.08838054099689</v>
      </c>
      <c r="L33" s="1">
        <f t="shared" ref="L33:O33" si="31">E33*D6</f>
        <v>270.13430999999997</v>
      </c>
      <c r="M33" s="1">
        <f t="shared" si="31"/>
        <v>262.64098000000001</v>
      </c>
      <c r="N33" s="1">
        <f t="shared" si="31"/>
        <v>285.21055999999999</v>
      </c>
      <c r="O33" s="27">
        <f t="shared" si="31"/>
        <v>559.19335999999998</v>
      </c>
      <c r="P33" s="19">
        <v>500</v>
      </c>
      <c r="Q33" s="1">
        <f>(H33-(K33/$G$6))*$H$6</f>
        <v>512.5372550666583</v>
      </c>
      <c r="R33" s="30"/>
      <c r="S33" s="30"/>
      <c r="T33" s="30"/>
      <c r="V33" s="36">
        <f>(1-(Q33/P33))*-100</f>
        <v>2.5074510133316519</v>
      </c>
      <c r="W33" s="1">
        <f>Q33-P33</f>
        <v>12.537255066658304</v>
      </c>
      <c r="Z33" s="9"/>
    </row>
    <row r="34" spans="2:26" x14ac:dyDescent="0.25">
      <c r="B34">
        <v>2</v>
      </c>
      <c r="C34" s="3">
        <v>44117.317361111112</v>
      </c>
      <c r="D34">
        <v>15.36</v>
      </c>
      <c r="E34">
        <v>17.48</v>
      </c>
      <c r="F34">
        <v>16.66</v>
      </c>
      <c r="G34">
        <v>49.3</v>
      </c>
      <c r="H34">
        <v>32.18</v>
      </c>
      <c r="I34" s="20">
        <v>195.2</v>
      </c>
      <c r="J34" s="1">
        <f>D34*C6</f>
        <v>194.8416</v>
      </c>
      <c r="K34" s="1">
        <f t="shared" ref="K34:K38" si="32">LN((J34-149.03281)/0.00000735872)*12.45915</f>
        <v>194.91219533631681</v>
      </c>
      <c r="L34" s="1">
        <f t="shared" ref="L34:O34" si="33">E34*D6</f>
        <v>220.75492</v>
      </c>
      <c r="M34" s="1">
        <f t="shared" si="33"/>
        <v>231.02422000000001</v>
      </c>
      <c r="N34" s="1">
        <f t="shared" si="33"/>
        <v>237.03439999999998</v>
      </c>
      <c r="O34" s="27">
        <f t="shared" si="33"/>
        <v>421.62236000000001</v>
      </c>
      <c r="P34" s="19">
        <v>306.8</v>
      </c>
      <c r="Q34" s="1">
        <f t="shared" ref="Q34:Q38" si="34">(H34-(K34/$G$6))*$H$6</f>
        <v>323.57503275918754</v>
      </c>
      <c r="R34" s="30"/>
      <c r="S34" s="30"/>
      <c r="T34" s="30"/>
      <c r="V34" s="36">
        <f t="shared" ref="V34:V38" si="35">(1-(Q34/P34))*-100</f>
        <v>5.4677420988225256</v>
      </c>
      <c r="W34" s="1">
        <f t="shared" ref="W34:W38" si="36">Q34-P34</f>
        <v>16.775032759187525</v>
      </c>
      <c r="Z34" s="9"/>
    </row>
    <row r="35" spans="2:26" x14ac:dyDescent="0.25">
      <c r="B35">
        <v>3</v>
      </c>
      <c r="C35" s="3">
        <v>44131.804861111108</v>
      </c>
      <c r="D35">
        <v>13.26</v>
      </c>
      <c r="E35">
        <v>13.66</v>
      </c>
      <c r="F35">
        <v>13.23</v>
      </c>
      <c r="G35">
        <v>37.86</v>
      </c>
      <c r="H35">
        <v>18.93</v>
      </c>
      <c r="I35" s="20">
        <v>183.3</v>
      </c>
      <c r="J35" s="1">
        <f>D35*C6</f>
        <v>168.20310000000001</v>
      </c>
      <c r="K35" s="1">
        <f t="shared" si="32"/>
        <v>184.05885148890434</v>
      </c>
      <c r="L35" s="1">
        <f t="shared" ref="L35:O35" si="37">E35*D6</f>
        <v>172.51213999999999</v>
      </c>
      <c r="M35" s="1">
        <f t="shared" si="37"/>
        <v>183.46041000000002</v>
      </c>
      <c r="N35" s="1">
        <f t="shared" si="37"/>
        <v>182.03088</v>
      </c>
      <c r="O35" s="27">
        <f t="shared" si="37"/>
        <v>248.02086</v>
      </c>
      <c r="P35" s="19">
        <v>88</v>
      </c>
      <c r="Q35" s="1">
        <f t="shared" si="34"/>
        <v>91.290609003013955</v>
      </c>
      <c r="R35" s="30"/>
      <c r="S35" s="30"/>
      <c r="T35" s="30"/>
      <c r="V35" s="36">
        <f t="shared" si="35"/>
        <v>3.7393284125158521</v>
      </c>
      <c r="W35" s="1">
        <f t="shared" si="36"/>
        <v>3.2906090030139552</v>
      </c>
      <c r="Z35" s="9"/>
    </row>
    <row r="36" spans="2:26" x14ac:dyDescent="0.25">
      <c r="B36">
        <v>4</v>
      </c>
      <c r="C36" s="3">
        <v>44141.354166666664</v>
      </c>
      <c r="D36">
        <v>12.41</v>
      </c>
      <c r="E36">
        <v>12.48</v>
      </c>
      <c r="F36">
        <v>12.17</v>
      </c>
      <c r="G36">
        <v>34.08</v>
      </c>
      <c r="H36">
        <v>15.19</v>
      </c>
      <c r="I36" s="20">
        <v>175.9</v>
      </c>
      <c r="J36" s="1">
        <f>D36*C6</f>
        <v>157.42085</v>
      </c>
      <c r="K36" s="1">
        <f t="shared" si="32"/>
        <v>173.76068121508851</v>
      </c>
      <c r="L36" s="1">
        <f t="shared" ref="L36:O36" si="38">E36*D6</f>
        <v>157.60991999999999</v>
      </c>
      <c r="M36" s="1">
        <f t="shared" si="38"/>
        <v>168.76139000000001</v>
      </c>
      <c r="N36" s="1">
        <f t="shared" si="38"/>
        <v>163.85664</v>
      </c>
      <c r="O36" s="27">
        <f t="shared" si="38"/>
        <v>199.01938000000001</v>
      </c>
      <c r="P36" s="19">
        <v>38.6</v>
      </c>
      <c r="Q36" s="1">
        <f t="shared" si="34"/>
        <v>36.050806539295131</v>
      </c>
      <c r="R36" s="30"/>
      <c r="S36" s="30"/>
      <c r="T36" s="30"/>
      <c r="V36" s="36">
        <f t="shared" si="35"/>
        <v>-6.6041281365411102</v>
      </c>
      <c r="W36" s="1">
        <f t="shared" si="36"/>
        <v>-2.5491934607048705</v>
      </c>
      <c r="Z36" s="9"/>
    </row>
    <row r="37" spans="2:26" x14ac:dyDescent="0.25">
      <c r="B37">
        <v>5</v>
      </c>
      <c r="C37" s="3">
        <v>44144.645833333336</v>
      </c>
      <c r="D37" s="9">
        <v>12.548333333333334</v>
      </c>
      <c r="E37" s="9">
        <v>12.863055555555556</v>
      </c>
      <c r="F37" s="9">
        <v>11.929722222222223</v>
      </c>
      <c r="G37" s="9">
        <v>34.349722222222219</v>
      </c>
      <c r="H37" s="9">
        <v>14.569722222222222</v>
      </c>
      <c r="I37" s="20">
        <v>173.4</v>
      </c>
      <c r="J37" s="1">
        <f>D37*C6</f>
        <v>159.17560833333334</v>
      </c>
      <c r="K37" s="1">
        <f t="shared" si="32"/>
        <v>176.12738457094372</v>
      </c>
      <c r="L37" s="1">
        <f t="shared" ref="L37:O37" si="39">E37*D6</f>
        <v>162.44752861111112</v>
      </c>
      <c r="M37" s="1">
        <f t="shared" si="39"/>
        <v>165.42945805555559</v>
      </c>
      <c r="N37" s="1">
        <f t="shared" si="39"/>
        <v>165.15346444444441</v>
      </c>
      <c r="O37" s="26">
        <f t="shared" si="39"/>
        <v>190.89250055555556</v>
      </c>
      <c r="P37" s="19">
        <v>29.1</v>
      </c>
      <c r="Q37" s="1">
        <f t="shared" si="34"/>
        <v>21.073703931631901</v>
      </c>
      <c r="R37" s="30"/>
      <c r="S37" s="30"/>
      <c r="T37" s="30"/>
      <c r="V37" s="39">
        <f t="shared" si="35"/>
        <v>-27.581773430818213</v>
      </c>
      <c r="W37" s="1">
        <f t="shared" si="36"/>
        <v>-8.0262960683681008</v>
      </c>
      <c r="Z37" s="9"/>
    </row>
    <row r="38" spans="2:26" x14ac:dyDescent="0.25">
      <c r="B38">
        <v>6</v>
      </c>
      <c r="C38" s="3">
        <v>44153.614583333336</v>
      </c>
      <c r="D38" s="9">
        <v>12.05</v>
      </c>
      <c r="E38" s="9">
        <v>11.696666666666667</v>
      </c>
      <c r="F38" s="9">
        <v>11.25</v>
      </c>
      <c r="G38" s="9">
        <v>31.836666666666666</v>
      </c>
      <c r="H38" s="9">
        <v>12.773333333333333</v>
      </c>
      <c r="I38" s="20">
        <v>166.8</v>
      </c>
      <c r="J38" s="1">
        <f>D38*C6</f>
        <v>152.85425000000001</v>
      </c>
      <c r="K38" s="1">
        <f t="shared" si="32"/>
        <v>163.96555206527916</v>
      </c>
      <c r="L38" s="1">
        <f t="shared" ref="L38:O38" si="40">E38*D6</f>
        <v>147.71720333333334</v>
      </c>
      <c r="M38" s="1">
        <f t="shared" si="40"/>
        <v>156.00375</v>
      </c>
      <c r="N38" s="1">
        <f t="shared" si="40"/>
        <v>153.07069333333334</v>
      </c>
      <c r="O38" s="32">
        <f t="shared" si="40"/>
        <v>167.35621333333333</v>
      </c>
      <c r="P38" s="19">
        <v>13.4</v>
      </c>
      <c r="Q38" s="1">
        <f t="shared" si="34"/>
        <v>4.8393654184562189</v>
      </c>
      <c r="R38" s="30"/>
      <c r="S38" s="30"/>
      <c r="T38" s="30"/>
      <c r="V38" s="39">
        <f t="shared" si="35"/>
        <v>-63.885332698087915</v>
      </c>
      <c r="W38" s="1">
        <f t="shared" si="36"/>
        <v>-8.5606345815437805</v>
      </c>
      <c r="Z38" s="9"/>
    </row>
  </sheetData>
  <mergeCells count="8">
    <mergeCell ref="C2:G2"/>
    <mergeCell ref="D29:H29"/>
    <mergeCell ref="J29:M29"/>
    <mergeCell ref="P29:S29"/>
    <mergeCell ref="C3:G3"/>
    <mergeCell ref="D16:H16"/>
    <mergeCell ref="J16:M16"/>
    <mergeCell ref="P16:S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2"/>
  <sheetViews>
    <sheetView tabSelected="1" topLeftCell="A19" workbookViewId="0">
      <selection activeCell="M90" sqref="M90"/>
    </sheetView>
  </sheetViews>
  <sheetFormatPr baseColWidth="10" defaultRowHeight="15" x14ac:dyDescent="0.25"/>
  <sheetData>
    <row r="2" spans="2:18" x14ac:dyDescent="0.25">
      <c r="B2" t="s">
        <v>50</v>
      </c>
      <c r="J2" t="s">
        <v>124</v>
      </c>
      <c r="R2" t="s">
        <v>123</v>
      </c>
    </row>
    <row r="28" spans="2:18" x14ac:dyDescent="0.25">
      <c r="B28" t="s">
        <v>48</v>
      </c>
      <c r="J28" t="s">
        <v>125</v>
      </c>
      <c r="R28" t="s">
        <v>126</v>
      </c>
    </row>
    <row r="54" spans="2:18" x14ac:dyDescent="0.25">
      <c r="B54" t="s">
        <v>127</v>
      </c>
      <c r="J54" t="s">
        <v>129</v>
      </c>
      <c r="R54" t="s">
        <v>128</v>
      </c>
    </row>
    <row r="81" spans="10:10" x14ac:dyDescent="0.25">
      <c r="J81" t="s">
        <v>130</v>
      </c>
    </row>
    <row r="82" spans="10:10" x14ac:dyDescent="0.25">
      <c r="J82" t="s">
        <v>131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Aktivitäten</vt:lpstr>
      <vt:lpstr>Energiefenster</vt:lpstr>
      <vt:lpstr>Impulse Mix</vt:lpstr>
      <vt:lpstr>Impulse Lu-177m</vt:lpstr>
      <vt:lpstr>Impulse I-131</vt:lpstr>
      <vt:lpstr>Berechnungen_2Fenster</vt:lpstr>
      <vt:lpstr>Bilder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Kupitz, Dennis</dc:creator>
  <cp:lastModifiedBy>Kupitz, Dennis</cp:lastModifiedBy>
  <dcterms:created xsi:type="dcterms:W3CDTF">2020-11-05T13:55:10Z</dcterms:created>
  <dcterms:modified xsi:type="dcterms:W3CDTF">2020-12-04T09:49:25Z</dcterms:modified>
</cp:coreProperties>
</file>