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b9e7465e62aaff3/Documents/Perso/Livres/library/"/>
    </mc:Choice>
  </mc:AlternateContent>
  <xr:revisionPtr revIDLastSave="18" documentId="11_F25DC773A252ABDACC10484349596F0C5ADE58E8" xr6:coauthVersionLast="47" xr6:coauthVersionMax="47" xr10:uidLastSave="{0C65BACE-8196-4FA9-A548-244E40CE6749}"/>
  <bookViews>
    <workbookView xWindow="3000" yWindow="3000" windowWidth="17280" windowHeight="8880" xr2:uid="{00000000-000D-0000-FFFF-FFFF00000000}"/>
  </bookViews>
  <sheets>
    <sheet name="libr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6" i="1" l="1"/>
  <c r="L306" i="1"/>
  <c r="F306" i="1"/>
  <c r="R305" i="1"/>
  <c r="M305" i="1"/>
  <c r="L305" i="1"/>
  <c r="J305" i="1"/>
  <c r="I305" i="1"/>
  <c r="F305" i="1"/>
  <c r="R304" i="1"/>
  <c r="F304" i="1"/>
  <c r="L302" i="1"/>
  <c r="G302" i="1"/>
  <c r="F302" i="1"/>
  <c r="G301" i="1"/>
  <c r="F301" i="1"/>
  <c r="N300" i="1"/>
  <c r="G300" i="1"/>
  <c r="F300" i="1"/>
  <c r="R299" i="1"/>
  <c r="N299" i="1"/>
  <c r="M299" i="1"/>
  <c r="F299" i="1"/>
  <c r="N298" i="1"/>
  <c r="M298" i="1"/>
  <c r="L298" i="1"/>
  <c r="I298" i="1"/>
  <c r="F298" i="1"/>
  <c r="N297" i="1"/>
  <c r="L297" i="1"/>
  <c r="I297" i="1"/>
  <c r="F297" i="1"/>
  <c r="R296" i="1"/>
  <c r="M296" i="1"/>
  <c r="F296" i="1"/>
  <c r="N295" i="1"/>
  <c r="M295" i="1"/>
  <c r="F295" i="1"/>
  <c r="R294" i="1"/>
  <c r="N294" i="1"/>
  <c r="M294" i="1"/>
  <c r="F294" i="1"/>
  <c r="F293" i="1"/>
  <c r="F292" i="1"/>
  <c r="G291" i="1"/>
  <c r="F291" i="1"/>
  <c r="F290" i="1"/>
  <c r="R289" i="1"/>
  <c r="F289" i="1"/>
  <c r="R288" i="1"/>
  <c r="F288" i="1"/>
  <c r="R287" i="1"/>
  <c r="N287" i="1"/>
  <c r="M287" i="1"/>
  <c r="L287" i="1"/>
  <c r="J287" i="1"/>
  <c r="I287" i="1"/>
  <c r="H287" i="1"/>
  <c r="R286" i="1"/>
  <c r="F286" i="1"/>
  <c r="F285" i="1"/>
  <c r="R284" i="1"/>
  <c r="N284" i="1"/>
  <c r="M284" i="1"/>
  <c r="L284" i="1"/>
  <c r="J284" i="1"/>
  <c r="I284" i="1"/>
  <c r="F284" i="1"/>
  <c r="M283" i="1"/>
  <c r="F283" i="1"/>
  <c r="L282" i="1"/>
  <c r="L281" i="1"/>
  <c r="F281" i="1"/>
  <c r="R280" i="1"/>
  <c r="N280" i="1"/>
  <c r="G280" i="1"/>
  <c r="F280" i="1"/>
  <c r="R279" i="1"/>
  <c r="L279" i="1"/>
  <c r="F279" i="1"/>
  <c r="M278" i="1"/>
  <c r="F278" i="1"/>
  <c r="F277" i="1"/>
  <c r="R276" i="1"/>
  <c r="N276" i="1"/>
  <c r="M276" i="1"/>
  <c r="F276" i="1"/>
  <c r="F275" i="1"/>
  <c r="L274" i="1"/>
  <c r="F274" i="1"/>
  <c r="F273" i="1"/>
  <c r="M272" i="1"/>
  <c r="L272" i="1"/>
  <c r="F272" i="1"/>
  <c r="R271" i="1"/>
  <c r="F271" i="1"/>
  <c r="R270" i="1"/>
  <c r="N270" i="1"/>
  <c r="M270" i="1"/>
  <c r="L270" i="1"/>
  <c r="I270" i="1"/>
  <c r="F270" i="1"/>
  <c r="N269" i="1"/>
  <c r="M269" i="1"/>
  <c r="F269" i="1"/>
  <c r="R268" i="1"/>
  <c r="N268" i="1"/>
  <c r="M268" i="1"/>
  <c r="F268" i="1"/>
  <c r="R267" i="1"/>
  <c r="M267" i="1"/>
  <c r="L267" i="1"/>
  <c r="G267" i="1"/>
  <c r="F267" i="1"/>
  <c r="R266" i="1"/>
  <c r="N266" i="1"/>
  <c r="M266" i="1"/>
  <c r="F266" i="1"/>
  <c r="N265" i="1"/>
  <c r="F265" i="1"/>
  <c r="R264" i="1"/>
  <c r="M264" i="1"/>
  <c r="G264" i="1"/>
  <c r="F264" i="1"/>
  <c r="N263" i="1"/>
  <c r="M263" i="1"/>
  <c r="F263" i="1"/>
  <c r="M262" i="1"/>
  <c r="F262" i="1"/>
  <c r="R261" i="1"/>
  <c r="N261" i="1"/>
  <c r="M261" i="1"/>
  <c r="F261" i="1"/>
  <c r="M260" i="1"/>
  <c r="G260" i="1"/>
  <c r="R259" i="1"/>
  <c r="M259" i="1"/>
  <c r="F259" i="1"/>
  <c r="M258" i="1"/>
  <c r="L258" i="1"/>
  <c r="I258" i="1"/>
  <c r="G258" i="1"/>
  <c r="F258" i="1"/>
  <c r="R257" i="1"/>
  <c r="F257" i="1"/>
  <c r="R256" i="1"/>
  <c r="N256" i="1"/>
  <c r="F256" i="1"/>
  <c r="F255" i="1"/>
  <c r="R254" i="1"/>
  <c r="F254" i="1"/>
  <c r="M253" i="1"/>
  <c r="F253" i="1"/>
  <c r="R252" i="1"/>
  <c r="N252" i="1"/>
  <c r="G252" i="1"/>
  <c r="F252" i="1"/>
  <c r="R251" i="1"/>
  <c r="M251" i="1"/>
  <c r="F251" i="1"/>
  <c r="R250" i="1"/>
  <c r="M250" i="1"/>
  <c r="F250" i="1"/>
  <c r="R249" i="1"/>
  <c r="M249" i="1"/>
  <c r="L249" i="1"/>
  <c r="F249" i="1"/>
  <c r="R248" i="1"/>
  <c r="L248" i="1"/>
  <c r="F248" i="1"/>
  <c r="M247" i="1"/>
  <c r="F247" i="1"/>
  <c r="L246" i="1"/>
  <c r="J246" i="1"/>
  <c r="I246" i="1"/>
  <c r="R245" i="1"/>
  <c r="M245" i="1"/>
  <c r="L245" i="1"/>
  <c r="F245" i="1"/>
  <c r="R244" i="1"/>
  <c r="F244" i="1"/>
  <c r="F243" i="1"/>
  <c r="N242" i="1"/>
  <c r="F242" i="1"/>
  <c r="M241" i="1"/>
  <c r="G241" i="1"/>
  <c r="F241" i="1"/>
  <c r="F240" i="1"/>
  <c r="M239" i="1"/>
  <c r="G239" i="1"/>
  <c r="M238" i="1"/>
  <c r="F238" i="1"/>
  <c r="R237" i="1"/>
  <c r="M237" i="1"/>
  <c r="F237" i="1"/>
  <c r="R236" i="1"/>
  <c r="N236" i="1"/>
  <c r="M236" i="1"/>
  <c r="L236" i="1"/>
  <c r="I236" i="1"/>
  <c r="F236" i="1"/>
  <c r="F235" i="1"/>
  <c r="R234" i="1"/>
  <c r="N234" i="1"/>
  <c r="M234" i="1"/>
  <c r="L234" i="1"/>
  <c r="I234" i="1"/>
  <c r="F234" i="1"/>
  <c r="M233" i="1"/>
  <c r="G233" i="1"/>
  <c r="F233" i="1"/>
  <c r="R232" i="1"/>
  <c r="M232" i="1"/>
  <c r="F232" i="1"/>
  <c r="F231" i="1"/>
  <c r="M230" i="1"/>
  <c r="L230" i="1"/>
  <c r="I230" i="1"/>
  <c r="G230" i="1"/>
  <c r="F230" i="1"/>
  <c r="R229" i="1"/>
  <c r="N229" i="1"/>
  <c r="G229" i="1"/>
  <c r="F229" i="1"/>
  <c r="R228" i="1"/>
  <c r="M228" i="1"/>
  <c r="F228" i="1"/>
  <c r="F227" i="1"/>
  <c r="R226" i="1"/>
  <c r="M226" i="1"/>
  <c r="F226" i="1"/>
  <c r="R225" i="1"/>
  <c r="M225" i="1"/>
  <c r="F225" i="1"/>
  <c r="L224" i="1"/>
  <c r="F224" i="1"/>
  <c r="R223" i="1"/>
  <c r="M223" i="1"/>
  <c r="F223" i="1"/>
  <c r="R222" i="1"/>
  <c r="M222" i="1"/>
  <c r="F222" i="1"/>
  <c r="F221" i="1"/>
  <c r="M220" i="1"/>
  <c r="F220" i="1"/>
  <c r="N219" i="1"/>
  <c r="G219" i="1"/>
  <c r="F219" i="1"/>
  <c r="R218" i="1"/>
  <c r="F218" i="1"/>
  <c r="M217" i="1"/>
  <c r="F217" i="1"/>
  <c r="N216" i="1"/>
  <c r="G216" i="1"/>
  <c r="F216" i="1"/>
  <c r="N215" i="1"/>
  <c r="F215" i="1"/>
  <c r="N214" i="1"/>
  <c r="G214" i="1"/>
  <c r="F214" i="1"/>
  <c r="M213" i="1"/>
  <c r="L213" i="1"/>
  <c r="F213" i="1"/>
  <c r="R212" i="1"/>
  <c r="F212" i="1"/>
  <c r="R211" i="1"/>
  <c r="M211" i="1"/>
  <c r="L211" i="1"/>
  <c r="F211" i="1"/>
  <c r="R210" i="1"/>
  <c r="N210" i="1"/>
  <c r="F210" i="1"/>
  <c r="L209" i="1"/>
  <c r="G209" i="1"/>
  <c r="F209" i="1"/>
  <c r="F208" i="1"/>
  <c r="R207" i="1"/>
  <c r="M207" i="1"/>
  <c r="F207" i="1"/>
  <c r="R206" i="1"/>
  <c r="F206" i="1"/>
  <c r="R205" i="1"/>
  <c r="M205" i="1"/>
  <c r="F205" i="1"/>
  <c r="R204" i="1"/>
  <c r="N204" i="1"/>
  <c r="M204" i="1"/>
  <c r="F204" i="1"/>
  <c r="R203" i="1"/>
  <c r="M203" i="1"/>
  <c r="F203" i="1"/>
  <c r="R202" i="1"/>
  <c r="N202" i="1"/>
  <c r="F202" i="1"/>
  <c r="F201" i="1"/>
  <c r="M200" i="1"/>
  <c r="F199" i="1"/>
  <c r="R198" i="1"/>
  <c r="M198" i="1"/>
  <c r="F198" i="1"/>
  <c r="R197" i="1"/>
  <c r="N197" i="1"/>
  <c r="M197" i="1"/>
  <c r="F197" i="1"/>
  <c r="R196" i="1"/>
  <c r="F196" i="1"/>
  <c r="R195" i="1"/>
  <c r="F195" i="1"/>
  <c r="M194" i="1"/>
  <c r="F194" i="1"/>
  <c r="M193" i="1"/>
  <c r="F193" i="1"/>
  <c r="R192" i="1"/>
  <c r="M192" i="1"/>
  <c r="F192" i="1"/>
  <c r="R191" i="1"/>
  <c r="N191" i="1"/>
  <c r="M191" i="1"/>
  <c r="L191" i="1"/>
  <c r="I191" i="1"/>
  <c r="F191" i="1"/>
  <c r="R190" i="1"/>
  <c r="N190" i="1"/>
  <c r="M190" i="1"/>
  <c r="F190" i="1"/>
  <c r="M189" i="1"/>
  <c r="F189" i="1"/>
  <c r="R188" i="1"/>
  <c r="M188" i="1"/>
  <c r="F188" i="1"/>
  <c r="R187" i="1"/>
  <c r="L187" i="1"/>
  <c r="J187" i="1"/>
  <c r="F187" i="1"/>
  <c r="N186" i="1"/>
  <c r="G186" i="1"/>
  <c r="F186" i="1"/>
  <c r="R185" i="1"/>
  <c r="M185" i="1"/>
  <c r="F185" i="1"/>
  <c r="R184" i="1"/>
  <c r="M184" i="1"/>
  <c r="F184" i="1"/>
  <c r="R183" i="1"/>
  <c r="M183" i="1"/>
  <c r="F183" i="1"/>
  <c r="N182" i="1"/>
  <c r="M182" i="1"/>
  <c r="L182" i="1"/>
  <c r="I182" i="1"/>
  <c r="F182" i="1"/>
  <c r="M181" i="1"/>
  <c r="L181" i="1"/>
  <c r="F181" i="1"/>
  <c r="R180" i="1"/>
  <c r="M180" i="1"/>
  <c r="F180" i="1"/>
  <c r="R179" i="1"/>
  <c r="M179" i="1"/>
  <c r="F179" i="1"/>
  <c r="R178" i="1"/>
  <c r="M178" i="1"/>
  <c r="F178" i="1"/>
  <c r="M177" i="1"/>
  <c r="L177" i="1"/>
  <c r="J177" i="1"/>
  <c r="I177" i="1"/>
  <c r="F177" i="1"/>
  <c r="R176" i="1"/>
  <c r="M176" i="1"/>
  <c r="F176" i="1"/>
  <c r="L175" i="1"/>
  <c r="R174" i="1"/>
  <c r="M174" i="1"/>
  <c r="F174" i="1"/>
  <c r="R173" i="1"/>
  <c r="M173" i="1"/>
  <c r="L173" i="1"/>
  <c r="J173" i="1"/>
  <c r="I173" i="1"/>
  <c r="F173" i="1"/>
  <c r="R172" i="1"/>
  <c r="M172" i="1"/>
  <c r="F172" i="1"/>
  <c r="M171" i="1"/>
  <c r="F171" i="1"/>
  <c r="R170" i="1"/>
  <c r="N170" i="1"/>
  <c r="M170" i="1"/>
  <c r="F170" i="1"/>
  <c r="F169" i="1"/>
  <c r="R168" i="1"/>
  <c r="N168" i="1"/>
  <c r="F168" i="1"/>
  <c r="R167" i="1"/>
  <c r="M167" i="1"/>
  <c r="F167" i="1"/>
  <c r="R166" i="1"/>
  <c r="M166" i="1"/>
  <c r="L166" i="1"/>
  <c r="G166" i="1"/>
  <c r="F166" i="1"/>
  <c r="R165" i="1"/>
  <c r="M165" i="1"/>
  <c r="F165" i="1"/>
  <c r="R164" i="1"/>
  <c r="N164" i="1"/>
  <c r="M164" i="1"/>
  <c r="F164" i="1"/>
  <c r="R163" i="1"/>
  <c r="F163" i="1"/>
  <c r="M162" i="1"/>
  <c r="F162" i="1"/>
  <c r="R161" i="1"/>
  <c r="N161" i="1"/>
  <c r="L161" i="1"/>
  <c r="J161" i="1"/>
  <c r="I161" i="1"/>
  <c r="F161" i="1"/>
  <c r="J160" i="1"/>
  <c r="F160" i="1"/>
  <c r="J159" i="1"/>
  <c r="F159" i="1"/>
  <c r="F158" i="1"/>
  <c r="M157" i="1"/>
  <c r="F157" i="1"/>
  <c r="F156" i="1"/>
  <c r="R155" i="1"/>
  <c r="M155" i="1"/>
  <c r="L155" i="1"/>
  <c r="F155" i="1"/>
  <c r="M154" i="1"/>
  <c r="L154" i="1"/>
  <c r="I154" i="1"/>
  <c r="F154" i="1"/>
  <c r="M153" i="1"/>
  <c r="G153" i="1"/>
  <c r="F153" i="1"/>
  <c r="M152" i="1"/>
  <c r="G152" i="1"/>
  <c r="R151" i="1"/>
  <c r="N151" i="1"/>
  <c r="G151" i="1"/>
  <c r="F151" i="1"/>
  <c r="M150" i="1"/>
  <c r="F150" i="1"/>
  <c r="R149" i="1"/>
  <c r="M149" i="1"/>
  <c r="F149" i="1"/>
  <c r="R148" i="1"/>
  <c r="N148" i="1"/>
  <c r="G148" i="1"/>
  <c r="F148" i="1"/>
  <c r="R147" i="1"/>
  <c r="M147" i="1"/>
  <c r="F147" i="1"/>
  <c r="N146" i="1"/>
  <c r="M146" i="1"/>
  <c r="F146" i="1"/>
  <c r="N145" i="1"/>
  <c r="F145" i="1"/>
  <c r="R144" i="1"/>
  <c r="M144" i="1"/>
  <c r="F144" i="1"/>
  <c r="R143" i="1"/>
  <c r="M143" i="1"/>
  <c r="F143" i="1"/>
  <c r="N142" i="1"/>
  <c r="G142" i="1"/>
  <c r="F142" i="1"/>
  <c r="R141" i="1"/>
  <c r="M141" i="1"/>
  <c r="F141" i="1"/>
  <c r="N140" i="1"/>
  <c r="J140" i="1"/>
  <c r="I140" i="1"/>
  <c r="F140" i="1"/>
  <c r="F139" i="1"/>
  <c r="M138" i="1"/>
  <c r="L138" i="1"/>
  <c r="F138" i="1"/>
  <c r="F137" i="1"/>
  <c r="R136" i="1"/>
  <c r="N136" i="1"/>
  <c r="F136" i="1"/>
  <c r="R135" i="1"/>
  <c r="F135" i="1"/>
  <c r="M134" i="1"/>
  <c r="G134" i="1"/>
  <c r="F134" i="1"/>
  <c r="R133" i="1"/>
  <c r="M133" i="1"/>
  <c r="L133" i="1"/>
  <c r="F133" i="1"/>
  <c r="N132" i="1"/>
  <c r="G132" i="1"/>
  <c r="F132" i="1"/>
  <c r="M131" i="1"/>
  <c r="G131" i="1"/>
  <c r="F131" i="1"/>
  <c r="M130" i="1"/>
  <c r="L130" i="1"/>
  <c r="I130" i="1"/>
  <c r="F130" i="1"/>
  <c r="L129" i="1"/>
  <c r="J129" i="1"/>
  <c r="F129" i="1"/>
  <c r="M128" i="1"/>
  <c r="L128" i="1"/>
  <c r="F128" i="1"/>
  <c r="R127" i="1"/>
  <c r="M127" i="1"/>
  <c r="L127" i="1"/>
  <c r="F127" i="1"/>
  <c r="R126" i="1"/>
  <c r="N126" i="1"/>
  <c r="F126" i="1"/>
  <c r="R125" i="1"/>
  <c r="M125" i="1"/>
  <c r="F125" i="1"/>
  <c r="R124" i="1"/>
  <c r="M124" i="1"/>
  <c r="F124" i="1"/>
  <c r="M123" i="1"/>
  <c r="F123" i="1"/>
  <c r="N122" i="1"/>
  <c r="M122" i="1"/>
  <c r="J122" i="1"/>
  <c r="I122" i="1"/>
  <c r="F122" i="1"/>
  <c r="R121" i="1"/>
  <c r="M121" i="1"/>
  <c r="J121" i="1"/>
  <c r="I121" i="1"/>
  <c r="F121" i="1"/>
  <c r="R120" i="1"/>
  <c r="F120" i="1"/>
  <c r="R119" i="1"/>
  <c r="M119" i="1"/>
  <c r="F119" i="1"/>
  <c r="L118" i="1"/>
  <c r="F118" i="1"/>
  <c r="N117" i="1"/>
  <c r="F117" i="1"/>
  <c r="M116" i="1"/>
  <c r="F116" i="1"/>
  <c r="N115" i="1"/>
  <c r="L115" i="1"/>
  <c r="F115" i="1"/>
  <c r="R114" i="1"/>
  <c r="F114" i="1"/>
  <c r="R113" i="1"/>
  <c r="M113" i="1"/>
  <c r="F113" i="1"/>
  <c r="M112" i="1"/>
  <c r="F112" i="1"/>
  <c r="N111" i="1"/>
  <c r="G111" i="1"/>
  <c r="F111" i="1"/>
  <c r="F110" i="1"/>
  <c r="N109" i="1"/>
  <c r="M109" i="1"/>
  <c r="F109" i="1"/>
  <c r="R108" i="1"/>
  <c r="M108" i="1"/>
  <c r="F108" i="1"/>
  <c r="R107" i="1"/>
  <c r="M107" i="1"/>
  <c r="N106" i="1"/>
  <c r="G106" i="1"/>
  <c r="F106" i="1"/>
  <c r="R105" i="1"/>
  <c r="M105" i="1"/>
  <c r="L105" i="1"/>
  <c r="J105" i="1"/>
  <c r="I105" i="1"/>
  <c r="H105" i="1"/>
  <c r="F105" i="1"/>
  <c r="R104" i="1"/>
  <c r="M104" i="1"/>
  <c r="F104" i="1"/>
  <c r="M103" i="1"/>
  <c r="L103" i="1"/>
  <c r="F103" i="1"/>
  <c r="G102" i="1"/>
  <c r="R101" i="1"/>
  <c r="M101" i="1"/>
  <c r="F101" i="1"/>
  <c r="L100" i="1"/>
  <c r="R99" i="1"/>
  <c r="M99" i="1"/>
  <c r="F99" i="1"/>
  <c r="N98" i="1"/>
  <c r="M98" i="1"/>
  <c r="G98" i="1"/>
  <c r="F98" i="1"/>
  <c r="N97" i="1"/>
  <c r="F97" i="1"/>
  <c r="R96" i="1"/>
  <c r="F96" i="1"/>
  <c r="R95" i="1"/>
  <c r="M95" i="1"/>
  <c r="F95" i="1"/>
  <c r="R94" i="1"/>
  <c r="F94" i="1"/>
  <c r="N93" i="1"/>
  <c r="F93" i="1"/>
  <c r="N92" i="1"/>
  <c r="L92" i="1"/>
  <c r="J92" i="1"/>
  <c r="I92" i="1"/>
  <c r="R91" i="1"/>
  <c r="M91" i="1"/>
  <c r="G91" i="1"/>
  <c r="F91" i="1"/>
  <c r="N90" i="1"/>
  <c r="M90" i="1"/>
  <c r="F90" i="1"/>
  <c r="F89" i="1"/>
  <c r="F88" i="1"/>
  <c r="M87" i="1"/>
  <c r="G87" i="1"/>
  <c r="F87" i="1"/>
  <c r="R86" i="1"/>
  <c r="F86" i="1"/>
  <c r="R85" i="1"/>
  <c r="N85" i="1"/>
  <c r="M85" i="1"/>
  <c r="L85" i="1"/>
  <c r="I85" i="1"/>
  <c r="F85" i="1"/>
  <c r="M84" i="1"/>
  <c r="L84" i="1"/>
  <c r="I84" i="1"/>
  <c r="F84" i="1"/>
  <c r="R83" i="1"/>
  <c r="F83" i="1"/>
  <c r="R82" i="1"/>
  <c r="M82" i="1"/>
  <c r="F82" i="1"/>
  <c r="R81" i="1"/>
  <c r="N81" i="1"/>
  <c r="F81" i="1"/>
  <c r="R80" i="1"/>
  <c r="N80" i="1"/>
  <c r="M80" i="1"/>
  <c r="L80" i="1"/>
  <c r="I80" i="1"/>
  <c r="F80" i="1"/>
  <c r="M79" i="1"/>
  <c r="F79" i="1"/>
  <c r="F78" i="1"/>
  <c r="R77" i="1"/>
  <c r="L77" i="1"/>
  <c r="F77" i="1"/>
  <c r="N76" i="1"/>
  <c r="M76" i="1"/>
  <c r="L76" i="1"/>
  <c r="J76" i="1"/>
  <c r="I76" i="1"/>
  <c r="F76" i="1"/>
  <c r="M75" i="1"/>
  <c r="G75" i="1"/>
  <c r="F75" i="1"/>
  <c r="G74" i="1"/>
  <c r="F74" i="1"/>
  <c r="M73" i="1"/>
  <c r="L73" i="1"/>
  <c r="F73" i="1"/>
  <c r="R72" i="1"/>
  <c r="M72" i="1"/>
  <c r="F72" i="1"/>
  <c r="R71" i="1"/>
  <c r="N71" i="1"/>
  <c r="F71" i="1"/>
  <c r="R70" i="1"/>
  <c r="M70" i="1"/>
  <c r="F70" i="1"/>
  <c r="R69" i="1"/>
  <c r="M69" i="1"/>
  <c r="F69" i="1"/>
  <c r="R68" i="1"/>
  <c r="F68" i="1"/>
  <c r="M67" i="1"/>
  <c r="L67" i="1"/>
  <c r="J67" i="1"/>
  <c r="I67" i="1"/>
  <c r="F67" i="1"/>
  <c r="N66" i="1"/>
  <c r="M66" i="1"/>
  <c r="F66" i="1"/>
  <c r="M65" i="1"/>
  <c r="F65" i="1"/>
  <c r="N64" i="1"/>
  <c r="G64" i="1"/>
  <c r="F64" i="1"/>
  <c r="M63" i="1"/>
  <c r="L63" i="1"/>
  <c r="J63" i="1"/>
  <c r="F63" i="1"/>
  <c r="R62" i="1"/>
  <c r="M62" i="1"/>
  <c r="F62" i="1"/>
  <c r="R61" i="1"/>
  <c r="N61" i="1"/>
  <c r="M61" i="1"/>
  <c r="F61" i="1"/>
  <c r="R60" i="1"/>
  <c r="M60" i="1"/>
  <c r="F60" i="1"/>
  <c r="R59" i="1"/>
  <c r="N59" i="1"/>
  <c r="M59" i="1"/>
  <c r="F59" i="1"/>
  <c r="R58" i="1"/>
  <c r="M58" i="1"/>
  <c r="L58" i="1"/>
  <c r="G58" i="1"/>
  <c r="F58" i="1"/>
  <c r="R57" i="1"/>
  <c r="F57" i="1"/>
  <c r="F56" i="1"/>
  <c r="M55" i="1"/>
  <c r="F55" i="1"/>
  <c r="R54" i="1"/>
  <c r="M54" i="1"/>
  <c r="G54" i="1"/>
  <c r="F54" i="1"/>
  <c r="R53" i="1"/>
  <c r="M53" i="1"/>
  <c r="G53" i="1"/>
  <c r="F53" i="1"/>
  <c r="R52" i="1"/>
  <c r="M52" i="1"/>
  <c r="F52" i="1"/>
  <c r="R51" i="1"/>
  <c r="M51" i="1"/>
  <c r="F51" i="1"/>
  <c r="M50" i="1"/>
  <c r="F50" i="1"/>
  <c r="R49" i="1"/>
  <c r="M49" i="1"/>
  <c r="L49" i="1"/>
  <c r="J49" i="1"/>
  <c r="I49" i="1"/>
  <c r="G49" i="1"/>
  <c r="F49" i="1"/>
  <c r="R48" i="1"/>
  <c r="M48" i="1"/>
  <c r="F48" i="1"/>
  <c r="N47" i="1"/>
  <c r="M47" i="1"/>
  <c r="L47" i="1"/>
  <c r="J47" i="1"/>
  <c r="I47" i="1"/>
  <c r="F47" i="1"/>
  <c r="R46" i="1"/>
  <c r="M46" i="1"/>
  <c r="L46" i="1"/>
  <c r="I46" i="1"/>
  <c r="G46" i="1"/>
  <c r="F46" i="1"/>
  <c r="R45" i="1"/>
  <c r="N45" i="1"/>
  <c r="M45" i="1"/>
  <c r="F45" i="1"/>
  <c r="L44" i="1"/>
  <c r="F43" i="1"/>
  <c r="R42" i="1"/>
  <c r="F42" i="1"/>
  <c r="R41" i="1"/>
  <c r="N41" i="1"/>
  <c r="M41" i="1"/>
  <c r="L41" i="1"/>
  <c r="I41" i="1"/>
  <c r="F41" i="1"/>
  <c r="L40" i="1"/>
  <c r="F40" i="1"/>
  <c r="M39" i="1"/>
  <c r="F39" i="1"/>
  <c r="L38" i="1"/>
  <c r="F38" i="1"/>
  <c r="G37" i="1"/>
  <c r="F37" i="1"/>
  <c r="R36" i="1"/>
  <c r="N36" i="1"/>
  <c r="F36" i="1"/>
  <c r="G35" i="1"/>
  <c r="F35" i="1"/>
  <c r="G34" i="1"/>
  <c r="F34" i="1"/>
  <c r="R33" i="1"/>
  <c r="M33" i="1"/>
  <c r="F33" i="1"/>
  <c r="R32" i="1"/>
  <c r="M32" i="1"/>
  <c r="F32" i="1"/>
  <c r="F31" i="1"/>
  <c r="M30" i="1"/>
  <c r="L30" i="1"/>
  <c r="J30" i="1"/>
  <c r="I30" i="1"/>
  <c r="M29" i="1"/>
  <c r="L29" i="1"/>
  <c r="J29" i="1"/>
  <c r="I29" i="1"/>
  <c r="F29" i="1"/>
  <c r="M28" i="1"/>
  <c r="F28" i="1"/>
  <c r="L27" i="1"/>
  <c r="F27" i="1"/>
  <c r="M26" i="1"/>
  <c r="L26" i="1"/>
  <c r="I26" i="1"/>
  <c r="G26" i="1"/>
  <c r="F26" i="1"/>
  <c r="N25" i="1"/>
  <c r="M25" i="1"/>
  <c r="L25" i="1"/>
  <c r="I25" i="1"/>
  <c r="F25" i="1"/>
  <c r="F24" i="1"/>
  <c r="M23" i="1"/>
  <c r="F23" i="1"/>
  <c r="R22" i="1"/>
  <c r="N22" i="1"/>
  <c r="M22" i="1"/>
  <c r="L22" i="1"/>
  <c r="I22" i="1"/>
  <c r="F22" i="1"/>
  <c r="R21" i="1"/>
  <c r="M21" i="1"/>
  <c r="F21" i="1"/>
  <c r="R20" i="1"/>
  <c r="M20" i="1"/>
  <c r="F20" i="1"/>
  <c r="R19" i="1"/>
  <c r="F19" i="1"/>
  <c r="N18" i="1"/>
  <c r="M18" i="1"/>
  <c r="L18" i="1"/>
  <c r="I18" i="1"/>
  <c r="F18" i="1"/>
  <c r="R17" i="1"/>
  <c r="N17" i="1"/>
  <c r="M17" i="1"/>
  <c r="F17" i="1"/>
  <c r="R16" i="1"/>
  <c r="M16" i="1"/>
  <c r="G16" i="1"/>
  <c r="F16" i="1"/>
  <c r="R15" i="1"/>
  <c r="M15" i="1"/>
  <c r="F15" i="1"/>
  <c r="R14" i="1"/>
  <c r="N14" i="1"/>
  <c r="M14" i="1"/>
  <c r="L14" i="1"/>
  <c r="I14" i="1"/>
  <c r="F14" i="1"/>
  <c r="L13" i="1"/>
  <c r="J13" i="1"/>
  <c r="I13" i="1"/>
  <c r="G13" i="1"/>
  <c r="G12" i="1"/>
  <c r="F12" i="1"/>
  <c r="R11" i="1"/>
  <c r="N11" i="1"/>
  <c r="F11" i="1"/>
  <c r="R10" i="1"/>
  <c r="F10" i="1"/>
  <c r="M9" i="1"/>
  <c r="L9" i="1"/>
  <c r="I9" i="1"/>
  <c r="F9" i="1"/>
  <c r="L8" i="1"/>
  <c r="F8" i="1"/>
  <c r="R7" i="1"/>
  <c r="M7" i="1"/>
  <c r="F7" i="1"/>
  <c r="N6" i="1"/>
  <c r="L6" i="1"/>
  <c r="J6" i="1"/>
  <c r="R5" i="1"/>
  <c r="N5" i="1"/>
  <c r="M5" i="1"/>
  <c r="I5" i="1"/>
  <c r="F5" i="1"/>
  <c r="N4" i="1"/>
  <c r="F4" i="1"/>
  <c r="F3" i="1"/>
  <c r="L2" i="1"/>
  <c r="F2" i="1"/>
</calcChain>
</file>

<file path=xl/sharedStrings.xml><?xml version="1.0" encoding="utf-8"?>
<sst xmlns="http://schemas.openxmlformats.org/spreadsheetml/2006/main" count="3851" uniqueCount="989">
  <si>
    <t>Titre</t>
  </si>
  <si>
    <t>Auteur</t>
  </si>
  <si>
    <t>Genre</t>
  </si>
  <si>
    <t>Langue d'origine</t>
  </si>
  <si>
    <t>Edition</t>
  </si>
  <si>
    <t>Collection</t>
  </si>
  <si>
    <t>ISBN</t>
  </si>
  <si>
    <t>Introducteur</t>
  </si>
  <si>
    <t>Traducteur</t>
  </si>
  <si>
    <t>Impression</t>
  </si>
  <si>
    <t>Livre principal</t>
  </si>
  <si>
    <t>Histoire</t>
  </si>
  <si>
    <t>Lu</t>
  </si>
  <si>
    <t>Favoris</t>
  </si>
  <si>
    <t>A racheter</t>
  </si>
  <si>
    <t>Georges Orwell</t>
  </si>
  <si>
    <t>Littérature</t>
  </si>
  <si>
    <t>Anglais</t>
  </si>
  <si>
    <t>Gallimard</t>
  </si>
  <si>
    <t>Folio</t>
  </si>
  <si>
    <t>978-2-07-036822-8</t>
  </si>
  <si>
    <t>Amélie Audiberti</t>
  </si>
  <si>
    <t>Oui</t>
  </si>
  <si>
    <t>Non</t>
  </si>
  <si>
    <t>Agamemnon</t>
  </si>
  <si>
    <t>Sénèque</t>
  </si>
  <si>
    <t>Théâtre</t>
  </si>
  <si>
    <t>Latin</t>
  </si>
  <si>
    <t>Folio Classique</t>
  </si>
  <si>
    <t>978-2-07-284003-6</t>
  </si>
  <si>
    <t>Blandine Le Callet</t>
  </si>
  <si>
    <t>Ainsi parlait Zarathoustra</t>
  </si>
  <si>
    <t>Friedrich Nietzsche</t>
  </si>
  <si>
    <t>Philosophie</t>
  </si>
  <si>
    <t>Allemand</t>
  </si>
  <si>
    <t>Flammarion</t>
  </si>
  <si>
    <t>978-2-0807-1302-5</t>
  </si>
  <si>
    <t>Paul Mathias</t>
  </si>
  <si>
    <t>Geneviève Bianquis</t>
  </si>
  <si>
    <t>Alcools</t>
  </si>
  <si>
    <t>Guillaume Apollinaire</t>
  </si>
  <si>
    <t>Poésie</t>
  </si>
  <si>
    <t>Français</t>
  </si>
  <si>
    <t>Etonnants Classiques</t>
  </si>
  <si>
    <t>978-2-0814-8717-8</t>
  </si>
  <si>
    <t>Sylvie Cain-Roullier</t>
  </si>
  <si>
    <t>American psycho</t>
  </si>
  <si>
    <t>Bret Easton Ellis</t>
  </si>
  <si>
    <t>Roman</t>
  </si>
  <si>
    <t>Américain</t>
  </si>
  <si>
    <t>10/18</t>
  </si>
  <si>
    <t>978-2-264-03937-8</t>
  </si>
  <si>
    <t>Alain Defossé</t>
  </si>
  <si>
    <t>Andromaque</t>
  </si>
  <si>
    <t>Jean Racine</t>
  </si>
  <si>
    <t>978-2-07-046664-1</t>
  </si>
  <si>
    <t>Raymond Picard</t>
  </si>
  <si>
    <t>Anges et démons</t>
  </si>
  <si>
    <t>Dan Brown</t>
  </si>
  <si>
    <t>Jean-Claude Lattès</t>
  </si>
  <si>
    <t>Le Livre de Poche</t>
  </si>
  <si>
    <t>978-2-253-09300-8</t>
  </si>
  <si>
    <t>Daniel Roche</t>
  </si>
  <si>
    <t>Anglais - Vocabulaire</t>
  </si>
  <si>
    <t>Jacqueline Fromonot</t>
  </si>
  <si>
    <t>Langue</t>
  </si>
  <si>
    <t>Nathan</t>
  </si>
  <si>
    <t>Le Robert &amp; Nathan</t>
  </si>
  <si>
    <t>978-2-09-152011-7</t>
  </si>
  <si>
    <t>Anna Karénine</t>
  </si>
  <si>
    <t>Léon Tolstoï</t>
  </si>
  <si>
    <t>Russe</t>
  </si>
  <si>
    <t>Classiques</t>
  </si>
  <si>
    <t>978-2-253-09838-6</t>
  </si>
  <si>
    <t>André Maurois</t>
  </si>
  <si>
    <t>Boris de Schloezer</t>
  </si>
  <si>
    <t>Antigone</t>
  </si>
  <si>
    <t>Sophocle</t>
  </si>
  <si>
    <t>Grec</t>
  </si>
  <si>
    <t>978-2-0807-1023-9</t>
  </si>
  <si>
    <t>Charles Guittard</t>
  </si>
  <si>
    <t>Robert Pignarre</t>
  </si>
  <si>
    <t>Apologie de Socrate</t>
  </si>
  <si>
    <t>Platon</t>
  </si>
  <si>
    <t>978-2-0814-1602-4</t>
  </si>
  <si>
    <t>Luc Brisson</t>
  </si>
  <si>
    <t>Atlas d'anatomie humaine</t>
  </si>
  <si>
    <t>Frank H. Netter</t>
  </si>
  <si>
    <t>Sciences</t>
  </si>
  <si>
    <t>Elsevier Masson</t>
  </si>
  <si>
    <t>978-2-294-75629-0</t>
  </si>
  <si>
    <t>Pierre Kamina</t>
  </si>
  <si>
    <t>Atlas of human anatomy and surgery</t>
  </si>
  <si>
    <t>J.M. Bourgery</t>
  </si>
  <si>
    <t>Taschen</t>
  </si>
  <si>
    <t>Bibliotheca Universalis</t>
  </si>
  <si>
    <t>978-3-8365-5663-7</t>
  </si>
  <si>
    <t>Au bonheur des dames</t>
  </si>
  <si>
    <t>Emile Zola</t>
  </si>
  <si>
    <t>978-2-253-00286-4</t>
  </si>
  <si>
    <t>Sophie Guermès</t>
  </si>
  <si>
    <t>Autres poèmes</t>
  </si>
  <si>
    <t>Stéphane Mallarmé</t>
  </si>
  <si>
    <t>978-2-07-032716-4</t>
  </si>
  <si>
    <t>Yves Bonnefoy</t>
  </si>
  <si>
    <t>Bel-ami</t>
  </si>
  <si>
    <t>Guy de Maupassant</t>
  </si>
  <si>
    <t>978-2-0814-4460-7</t>
  </si>
  <si>
    <t>Adeline Wrona</t>
  </si>
  <si>
    <t>Bosch - L'œuvre complet</t>
  </si>
  <si>
    <t>Stefan Fischer</t>
  </si>
  <si>
    <t>Art</t>
  </si>
  <si>
    <t>40th Edition</t>
  </si>
  <si>
    <t>978-3-8365-8785-3</t>
  </si>
  <si>
    <t>Bouclier</t>
  </si>
  <si>
    <t>Hésiode</t>
  </si>
  <si>
    <t>978-2-07-039344-2</t>
  </si>
  <si>
    <t>Jean-Louis Backès</t>
  </si>
  <si>
    <t>Boule de suif</t>
  </si>
  <si>
    <t>978-2-07-041119-1</t>
  </si>
  <si>
    <t>Louis Forestier</t>
  </si>
  <si>
    <t>Britannicus</t>
  </si>
  <si>
    <t>978-2-07-046662-7</t>
  </si>
  <si>
    <t>Georges Forestier</t>
  </si>
  <si>
    <t>Bruegel - Tout l'œuvre peint</t>
  </si>
  <si>
    <t>Jürgen Müller</t>
  </si>
  <si>
    <t>978-3-8365-8095-3</t>
  </si>
  <si>
    <t>Candide</t>
  </si>
  <si>
    <t>Voltaire</t>
  </si>
  <si>
    <t>978-2-253-09808-9</t>
  </si>
  <si>
    <t>Sylviane Léoni</t>
  </si>
  <si>
    <t>Canzoniere</t>
  </si>
  <si>
    <t>Pétrarque</t>
  </si>
  <si>
    <t>Italien</t>
  </si>
  <si>
    <t>NRF</t>
  </si>
  <si>
    <t>978-2-07-274375-7</t>
  </si>
  <si>
    <t>René de Ceccatty</t>
  </si>
  <si>
    <t>Caravage - L'œuvre complet</t>
  </si>
  <si>
    <t>Sebastian Schütze</t>
  </si>
  <si>
    <t>978-3-8365-8795-2</t>
  </si>
  <si>
    <t>Chimie - 1ère année - MPSI-PTSI</t>
  </si>
  <si>
    <t>Pierre Grécias</t>
  </si>
  <si>
    <t>Lavoisier</t>
  </si>
  <si>
    <t>Compétences prépa</t>
  </si>
  <si>
    <t>978-2-7430-1514-5</t>
  </si>
  <si>
    <t>Christine</t>
  </si>
  <si>
    <t>Stephen King</t>
  </si>
  <si>
    <t>Albin Michel</t>
  </si>
  <si>
    <t>978-2-253-14769-5</t>
  </si>
  <si>
    <t>Marie Milpois</t>
  </si>
  <si>
    <t>Claude Gueux</t>
  </si>
  <si>
    <t>Victor Hugo</t>
  </si>
  <si>
    <t>978-2-07-269996-2</t>
  </si>
  <si>
    <t>Arnaud Laster</t>
  </si>
  <si>
    <t>Code 612 : qui a tué le Petit Prince</t>
  </si>
  <si>
    <t>Michel Bussi</t>
  </si>
  <si>
    <t>Les Presses de la Cité</t>
  </si>
  <si>
    <t>978-2-258-19790-9</t>
  </si>
  <si>
    <t>Comment regarder un tableau</t>
  </si>
  <si>
    <t>Françoise Barbe-Gall</t>
  </si>
  <si>
    <t>Chêne</t>
  </si>
  <si>
    <t>978-2-81232-093-4</t>
  </si>
  <si>
    <t>Contes</t>
  </si>
  <si>
    <t>Hans Christian Andersen</t>
  </si>
  <si>
    <t>Récit</t>
  </si>
  <si>
    <t>Danois</t>
  </si>
  <si>
    <t>978-2-253-16113-4</t>
  </si>
  <si>
    <t>Marc Auchet</t>
  </si>
  <si>
    <t>Charles Perrault</t>
  </si>
  <si>
    <t>978-2-253-08228-6</t>
  </si>
  <si>
    <t>Catherine Magnien</t>
  </si>
  <si>
    <t>Grimm</t>
  </si>
  <si>
    <t>978-2-07-036840-2</t>
  </si>
  <si>
    <t>Marthe Robert</t>
  </si>
  <si>
    <t>Crime et châtiment</t>
  </si>
  <si>
    <t>Fiodor Dostoïevski</t>
  </si>
  <si>
    <t>978-2-07-284323-5</t>
  </si>
  <si>
    <t>Georges Nivat</t>
  </si>
  <si>
    <t>D. Ergaz</t>
  </si>
  <si>
    <t>Critias</t>
  </si>
  <si>
    <t>978-2-0814-2156-1</t>
  </si>
  <si>
    <t>Michel Patillon</t>
  </si>
  <si>
    <t>Critique de la raison pure</t>
  </si>
  <si>
    <t>Emmanuel Kant</t>
  </si>
  <si>
    <t>978-2-0807-1304-9</t>
  </si>
  <si>
    <t>Alain Renaut</t>
  </si>
  <si>
    <t>Criton</t>
  </si>
  <si>
    <t>Croc-Blanc</t>
  </si>
  <si>
    <t>Jack London</t>
  </si>
  <si>
    <t>Gallimard Jeunesse</t>
  </si>
  <si>
    <t>Folio Junior</t>
  </si>
  <si>
    <t>978-2-07-065190-0</t>
  </si>
  <si>
    <t>Philippe Sabathé</t>
  </si>
  <si>
    <t>Cyrano de Bergerac</t>
  </si>
  <si>
    <t>Edmond Rostand</t>
  </si>
  <si>
    <t>978-2-07-040931-0</t>
  </si>
  <si>
    <t>Patrick Besnier</t>
  </si>
  <si>
    <t>Da Vinci code</t>
  </si>
  <si>
    <t>978-2-253-00117-1</t>
  </si>
  <si>
    <t>Dali - L'œuvre peint</t>
  </si>
  <si>
    <t>Robert Descharnes</t>
  </si>
  <si>
    <t>978-3-8365-4491-7</t>
  </si>
  <si>
    <t>De l'âme</t>
  </si>
  <si>
    <t>Aristote</t>
  </si>
  <si>
    <t>978-2-0814-2154-7</t>
  </si>
  <si>
    <t>Richard Bodéüs</t>
  </si>
  <si>
    <t>Décaméron</t>
  </si>
  <si>
    <t>Jean Boccace</t>
  </si>
  <si>
    <t>978-2-253-90702-2</t>
  </si>
  <si>
    <t>Christian Bec</t>
  </si>
  <si>
    <t>Marthe Dozon</t>
  </si>
  <si>
    <t>Deception point</t>
  </si>
  <si>
    <t>978-2-253-12316-3</t>
  </si>
  <si>
    <t>Deux lettres</t>
  </si>
  <si>
    <t>Arthur Rimbaud</t>
  </si>
  <si>
    <t>978-2-0813-8272-5</t>
  </si>
  <si>
    <t>Jean-Luc Steinmetz</t>
  </si>
  <si>
    <t>Dictionnaire des symboles</t>
  </si>
  <si>
    <t>Jean Chevalier</t>
  </si>
  <si>
    <t>Robert Laffont</t>
  </si>
  <si>
    <t>Bouquins</t>
  </si>
  <si>
    <t>978-2-22-108716-9</t>
  </si>
  <si>
    <t>Dictionnaire Hachette</t>
  </si>
  <si>
    <t>Jean-Pierre Mevel</t>
  </si>
  <si>
    <t>Hachette</t>
  </si>
  <si>
    <t>978-2-01-281420-2</t>
  </si>
  <si>
    <t>Dictionnaire philosophique</t>
  </si>
  <si>
    <t>978-2-07-038628-4</t>
  </si>
  <si>
    <t>Alain Pons</t>
  </si>
  <si>
    <t>André Comte-Sponville</t>
  </si>
  <si>
    <t>PUF</t>
  </si>
  <si>
    <t>978-2-13-080435-2</t>
  </si>
  <si>
    <t>Discours de la méthode</t>
  </si>
  <si>
    <t>René Descartes</t>
  </si>
  <si>
    <t>978-2-0813-9071-3</t>
  </si>
  <si>
    <t>Laurence Renault</t>
  </si>
  <si>
    <t>Discours de la servitude volontaire</t>
  </si>
  <si>
    <t>Etienne de la Boétie</t>
  </si>
  <si>
    <t>978-2-0813-7501-7</t>
  </si>
  <si>
    <t>Simone Goyard-Fabre</t>
  </si>
  <si>
    <t>Discours sur l'ensemble du positivisme</t>
  </si>
  <si>
    <t>Auguste Comte</t>
  </si>
  <si>
    <t>978-2-0807-0991-2</t>
  </si>
  <si>
    <t>Anne Petit</t>
  </si>
  <si>
    <t>Discours sur les sciences et les arts</t>
  </si>
  <si>
    <t>Jean-Jacques Rousseau</t>
  </si>
  <si>
    <t>978-2-0814-4466-9</t>
  </si>
  <si>
    <t>Jacques Roger</t>
  </si>
  <si>
    <t>Discours sur l'origine et les fondements de l'inégalité parmis les hommes</t>
  </si>
  <si>
    <t>Dom Juan</t>
  </si>
  <si>
    <t>Molière</t>
  </si>
  <si>
    <t>978-2-07-045001-5</t>
  </si>
  <si>
    <t>Georges Couton</t>
  </si>
  <si>
    <t>Don Quichotte I</t>
  </si>
  <si>
    <t>Miguel de Cervantes</t>
  </si>
  <si>
    <t>Espagnol</t>
  </si>
  <si>
    <t>978-2-07-043807-5</t>
  </si>
  <si>
    <t>Jean Canavaggio</t>
  </si>
  <si>
    <t>Don Quichotte II</t>
  </si>
  <si>
    <t>978-2-07-043808-2</t>
  </si>
  <si>
    <t>Douze petits écrits</t>
  </si>
  <si>
    <t>Francis Ponge</t>
  </si>
  <si>
    <t>978-2-07-030223-9</t>
  </si>
  <si>
    <t>Du contrat social</t>
  </si>
  <si>
    <t>978-2-0812-7523-2</t>
  </si>
  <si>
    <t>Bruno Bernardi</t>
  </si>
  <si>
    <t>Du côté de chez Swann</t>
  </si>
  <si>
    <t>Marcel Proust</t>
  </si>
  <si>
    <t>978-2-07-037924-8</t>
  </si>
  <si>
    <t>Antoine Compagnon</t>
  </si>
  <si>
    <t>Durée et simultanéité</t>
  </si>
  <si>
    <t>Henri Bergson</t>
  </si>
  <si>
    <t>978-2-0812-2333-2</t>
  </si>
  <si>
    <t>Jean-Marc Lévy-Leblond</t>
  </si>
  <si>
    <t>Ecrits sur l'art</t>
  </si>
  <si>
    <t>Charles Baudelaire</t>
  </si>
  <si>
    <t>978-2-253-06090-1</t>
  </si>
  <si>
    <t>Francis Moulinat</t>
  </si>
  <si>
    <t>Eldorado</t>
  </si>
  <si>
    <t>Laurent Gaudé</t>
  </si>
  <si>
    <t>J'ai Lu</t>
  </si>
  <si>
    <t>978-2-290-00654-2</t>
  </si>
  <si>
    <t>Eloge de la folie</t>
  </si>
  <si>
    <t>Erasme</t>
  </si>
  <si>
    <t>978-2-0813-9072-0</t>
  </si>
  <si>
    <t>Maurice Rat</t>
  </si>
  <si>
    <t>Pierre de Nolhac</t>
  </si>
  <si>
    <t>Elsa</t>
  </si>
  <si>
    <t>Louis Aragon</t>
  </si>
  <si>
    <t>978-2-07-035959-2</t>
  </si>
  <si>
    <t>Olivier Barbarant</t>
  </si>
  <si>
    <t>Emile ou de l'éducation</t>
  </si>
  <si>
    <t>978-2-0812-0692-2</t>
  </si>
  <si>
    <t>André Charrak</t>
  </si>
  <si>
    <t>En attendant Godot</t>
  </si>
  <si>
    <t>Samuel Beckett</t>
  </si>
  <si>
    <t>Minuit</t>
  </si>
  <si>
    <t>978-2-7073-0148-2</t>
  </si>
  <si>
    <t>Enéide</t>
  </si>
  <si>
    <t>Virgile</t>
  </si>
  <si>
    <t>978-2-253-08537-9</t>
  </si>
  <si>
    <t>Sylvie Laigneau</t>
  </si>
  <si>
    <t>Maurice Lefaure</t>
  </si>
  <si>
    <t>Entretien d'un philosophe avec Madame la Maréchale de ***</t>
  </si>
  <si>
    <t>Denis Diderot</t>
  </si>
  <si>
    <t>978-2-0812-2002-7</t>
  </si>
  <si>
    <t>Jean-Claude Bourdin</t>
  </si>
  <si>
    <t>Epîtres</t>
  </si>
  <si>
    <t>Nicolas Boileau</t>
  </si>
  <si>
    <t>978-2-07-032293-0</t>
  </si>
  <si>
    <t>Jean-Pierre Collinet</t>
  </si>
  <si>
    <t>Ethique à Nicomaque</t>
  </si>
  <si>
    <t>978-2-0807-0947-9</t>
  </si>
  <si>
    <t>Eugénie Grandet</t>
  </si>
  <si>
    <t>Honoré de Balzac</t>
  </si>
  <si>
    <t>978-2-253-00386-1</t>
  </si>
  <si>
    <t>Martine Reid</t>
  </si>
  <si>
    <t>Exercices de style</t>
  </si>
  <si>
    <t>Raymond Queneau</t>
  </si>
  <si>
    <t>978-2-07-037363-5</t>
  </si>
  <si>
    <t>Fables</t>
  </si>
  <si>
    <t>Esope</t>
  </si>
  <si>
    <t>978-2-07-045393-1</t>
  </si>
  <si>
    <t>Antoine Biscéré</t>
  </si>
  <si>
    <t>Julien Bardot</t>
  </si>
  <si>
    <t>Jean de la Fontaine</t>
  </si>
  <si>
    <t>978-2-253-01004-3</t>
  </si>
  <si>
    <t>Jean-Charles Darmon</t>
  </si>
  <si>
    <t>First and goal : 100 ans de NFL</t>
  </si>
  <si>
    <t>Didier Angelu</t>
  </si>
  <si>
    <t>Sport</t>
  </si>
  <si>
    <t>CMS Editions64</t>
  </si>
  <si>
    <t>978-2-9552918-3-2</t>
  </si>
  <si>
    <t>Forteresse digitale</t>
  </si>
  <si>
    <t>978-2-253-12707-9</t>
  </si>
  <si>
    <t>Dominique Defert</t>
  </si>
  <si>
    <t>Frankenstein</t>
  </si>
  <si>
    <t>Mary W. Shelley</t>
  </si>
  <si>
    <t>978-2-253-08875-2</t>
  </si>
  <si>
    <t>Jean-Pierre Naugrette</t>
  </si>
  <si>
    <t>Joe Ceurvorst</t>
  </si>
  <si>
    <t>Gargantua</t>
  </si>
  <si>
    <t>François Rabelais</t>
  </si>
  <si>
    <t>978-2-07-031736-3</t>
  </si>
  <si>
    <t>Mireille Huchon</t>
  </si>
  <si>
    <t>Gaudi - L'œuvre complet</t>
  </si>
  <si>
    <t>Rainer Zerbst</t>
  </si>
  <si>
    <t>978-3-8365-6618-6</t>
  </si>
  <si>
    <t>Généalogie de la morale</t>
  </si>
  <si>
    <t>978-2-0807-0754-3</t>
  </si>
  <si>
    <t>Philippe Choulet</t>
  </si>
  <si>
    <t>Eric Blondel</t>
  </si>
  <si>
    <t>Germinal</t>
  </si>
  <si>
    <t>978-2-253-00422-6</t>
  </si>
  <si>
    <t>Colette Becker</t>
  </si>
  <si>
    <t>Gorgias</t>
  </si>
  <si>
    <t>978-2-0814-2773-0</t>
  </si>
  <si>
    <t>Monique Canto-Sperber</t>
  </si>
  <si>
    <t>Grammaire raisonnée 2</t>
  </si>
  <si>
    <t>Jean-Claude Burgue</t>
  </si>
  <si>
    <t>Ophrys</t>
  </si>
  <si>
    <t>Grammaires et méthodes</t>
  </si>
  <si>
    <t>978-2-7080-1577-7</t>
  </si>
  <si>
    <t>Gustav Klimt - Tout l'œuvre peint</t>
  </si>
  <si>
    <t>Tobias G. Natter</t>
  </si>
  <si>
    <t>978-3-8365-6289-8</t>
  </si>
  <si>
    <t>Hamlet</t>
  </si>
  <si>
    <t>William Shakespeare</t>
  </si>
  <si>
    <t>978-2-07-046850-8</t>
  </si>
  <si>
    <t>Harmonies poétiques et religieuses</t>
  </si>
  <si>
    <t>Alphonse de Lamartine</t>
  </si>
  <si>
    <t>978-2-07-032200-8</t>
  </si>
  <si>
    <t>Marius-François Guyard</t>
  </si>
  <si>
    <t>Hercule furieux</t>
  </si>
  <si>
    <t>Hercule sur l'Oeta</t>
  </si>
  <si>
    <t>Hernani</t>
  </si>
  <si>
    <t>978-2-0814-3361-8</t>
  </si>
  <si>
    <t>Florence Naugrette</t>
  </si>
  <si>
    <t>Hérodiade</t>
  </si>
  <si>
    <t>Histoire de l'art</t>
  </si>
  <si>
    <t>Ernst Gombrich</t>
  </si>
  <si>
    <t>Phaidon</t>
  </si>
  <si>
    <t>978-0-7148-9207-8</t>
  </si>
  <si>
    <t>J. Combe</t>
  </si>
  <si>
    <t>Histoire des animaux</t>
  </si>
  <si>
    <t>978-2-0807-1291-2</t>
  </si>
  <si>
    <t>Pierre Pellegrin</t>
  </si>
  <si>
    <t>Histoires extraordinaires</t>
  </si>
  <si>
    <t>Edgar Allan Poe</t>
  </si>
  <si>
    <t>Nouvelle</t>
  </si>
  <si>
    <t>978-2-253-00692-3</t>
  </si>
  <si>
    <t>Michel Zéraffa</t>
  </si>
  <si>
    <t>Horace</t>
  </si>
  <si>
    <t>Pierre Corneille</t>
  </si>
  <si>
    <t>978-2-0814-7010-1</t>
  </si>
  <si>
    <t>Marc Escola</t>
  </si>
  <si>
    <t>Hymnes homériques</t>
  </si>
  <si>
    <t>Iliade</t>
  </si>
  <si>
    <t>Homère</t>
  </si>
  <si>
    <t>978-2-0814-1598-0</t>
  </si>
  <si>
    <t>Jean Métayer</t>
  </si>
  <si>
    <t>Eugène Lasserre</t>
  </si>
  <si>
    <t>Illuminations</t>
  </si>
  <si>
    <t>Illusions perdues</t>
  </si>
  <si>
    <t>978-2-253-08570-6</t>
  </si>
  <si>
    <t>Patrick Berthier</t>
  </si>
  <si>
    <t>Inferno</t>
  </si>
  <si>
    <t>978-2-253-00456-1</t>
  </si>
  <si>
    <t>Jacques le fataliste et son maître</t>
  </si>
  <si>
    <t>978-2-0814-2777-8</t>
  </si>
  <si>
    <t>Barbara K.-Toumarkine</t>
  </si>
  <si>
    <t>Journal de Raskolnikov</t>
  </si>
  <si>
    <t>Vladimir Pozner</t>
  </si>
  <si>
    <t>Knock</t>
  </si>
  <si>
    <t>Jules Romains</t>
  </si>
  <si>
    <t>978-2-07-036060-4</t>
  </si>
  <si>
    <t>La Bête humaine</t>
  </si>
  <si>
    <t>978-2-253-00557-5</t>
  </si>
  <si>
    <t>Gisèle Séginger</t>
  </si>
  <si>
    <t>La Bible</t>
  </si>
  <si>
    <t>Dieu</t>
  </si>
  <si>
    <t>Religion</t>
  </si>
  <si>
    <t>978-2-71-890876-2</t>
  </si>
  <si>
    <t>La Brièveté de la vie</t>
  </si>
  <si>
    <t>978-2-0807-1244-8</t>
  </si>
  <si>
    <t>La Chanson de Roland</t>
  </si>
  <si>
    <t>Turold</t>
  </si>
  <si>
    <t>Lettres gothiques</t>
  </si>
  <si>
    <t>978-2-253-05341-4</t>
  </si>
  <si>
    <t>Ian Short</t>
  </si>
  <si>
    <t>La Conquête de Plassans</t>
  </si>
  <si>
    <t>978-2-253-00894-1</t>
  </si>
  <si>
    <t>La Curée</t>
  </si>
  <si>
    <t>978-2-0812-5577-7</t>
  </si>
  <si>
    <t>François-Marie Mourad</t>
  </si>
  <si>
    <t>La Dame aux camélias</t>
  </si>
  <si>
    <t>Alexandre Dumas fils</t>
  </si>
  <si>
    <t>978-2-07-036704-7</t>
  </si>
  <si>
    <t>La Divine Comédie</t>
  </si>
  <si>
    <t>Dante Alighieri</t>
  </si>
  <si>
    <t>978-2-0812-3155-9</t>
  </si>
  <si>
    <t>Jacqueline Risset</t>
  </si>
  <si>
    <t>La double inconstance</t>
  </si>
  <si>
    <t>Marivaux</t>
  </si>
  <si>
    <t>978-2-0807-0952-3</t>
  </si>
  <si>
    <t>Christophe Martin</t>
  </si>
  <si>
    <t>La Faute de l'abbé Mouret</t>
  </si>
  <si>
    <t>978-2-253-00559-9</t>
  </si>
  <si>
    <t>La Ferme des animaux</t>
  </si>
  <si>
    <t>978-2-07-294740-7</t>
  </si>
  <si>
    <t>Philippe Jaworski</t>
  </si>
  <si>
    <t>Jean Queval</t>
  </si>
  <si>
    <t>La Fin de l'homme rouge</t>
  </si>
  <si>
    <t>Svetlana Alexievitch</t>
  </si>
  <si>
    <t>Babel</t>
  </si>
  <si>
    <t>978-2-330-06684-0</t>
  </si>
  <si>
    <t>Sophie Benech</t>
  </si>
  <si>
    <t>La Fortune des Rougon</t>
  </si>
  <si>
    <t>978-2-253-16118-9</t>
  </si>
  <si>
    <t>La Guerre des Gaules</t>
  </si>
  <si>
    <t>Jules César</t>
  </si>
  <si>
    <t>978-2-0807-0012-4</t>
  </si>
  <si>
    <t>La Guerre n'a pas un visage de femme</t>
  </si>
  <si>
    <t>Les Iconiques</t>
  </si>
  <si>
    <t>978-2-290-26139-2</t>
  </si>
  <si>
    <t>Galia Ackerman</t>
  </si>
  <si>
    <t>La Machine infernale</t>
  </si>
  <si>
    <t>Jean Cocteau</t>
  </si>
  <si>
    <t>Les Classiques pédago</t>
  </si>
  <si>
    <t>978-2-253-00916-0</t>
  </si>
  <si>
    <t>Gérard Lieber</t>
  </si>
  <si>
    <t>La Métamorphose</t>
  </si>
  <si>
    <t>Franz Kafka</t>
  </si>
  <si>
    <t>978-2-0802-7785-5</t>
  </si>
  <si>
    <t>Bernard Lortholary</t>
  </si>
  <si>
    <t>La nouvelle bible de la préparation mentale</t>
  </si>
  <si>
    <t>Christian Target</t>
  </si>
  <si>
    <t>Amphora</t>
  </si>
  <si>
    <t>978-2-75760-589-9</t>
  </si>
  <si>
    <t>La nouvelle bible de la préparation physique</t>
  </si>
  <si>
    <t>Didier Reiss</t>
  </si>
  <si>
    <t>978-2-75760-467-0</t>
  </si>
  <si>
    <t>Georges Cazorla</t>
  </si>
  <si>
    <t>La Nuit de Valognes</t>
  </si>
  <si>
    <t>Eric-Emmanuel Schmitt</t>
  </si>
  <si>
    <t>Magnard</t>
  </si>
  <si>
    <t>Classiques &amp; Contemporains</t>
  </si>
  <si>
    <t>978-2-210-75471-3</t>
  </si>
  <si>
    <t>Pierre Brunel</t>
  </si>
  <si>
    <t>La Peau de chagrin</t>
  </si>
  <si>
    <t>978-2-07-033828-3</t>
  </si>
  <si>
    <t>André Pieyre de Mandiargues</t>
  </si>
  <si>
    <t>La Princesse de Clèves</t>
  </si>
  <si>
    <t>Madame de Lafayette</t>
  </si>
  <si>
    <t>978-2-253-00672-5</t>
  </si>
  <si>
    <t>Philippe Sellier</t>
  </si>
  <si>
    <t>La République</t>
  </si>
  <si>
    <t>978-2-0813-8669-3</t>
  </si>
  <si>
    <t>Georges Leroux</t>
  </si>
  <si>
    <t xml:space="preserve">La Rose publique </t>
  </si>
  <si>
    <t>Paul Eluard</t>
  </si>
  <si>
    <t>978-2-07-030096-9</t>
  </si>
  <si>
    <t>La Sculpture grecque</t>
  </si>
  <si>
    <t>Bernard Holtzmann</t>
  </si>
  <si>
    <t>Références</t>
  </si>
  <si>
    <t>978-2-253-90599-8</t>
  </si>
  <si>
    <t>La Supplication</t>
  </si>
  <si>
    <t>978-2-290-13599-0</t>
  </si>
  <si>
    <t>La Terre entre nos mains</t>
  </si>
  <si>
    <t>Thomas Pesquet</t>
  </si>
  <si>
    <t>ESA</t>
  </si>
  <si>
    <t>978-2-0804-1413-7</t>
  </si>
  <si>
    <t>La Vie d'Esope le Phrygien</t>
  </si>
  <si>
    <t>La Vie heureuse</t>
  </si>
  <si>
    <t>La Vie immédiate</t>
  </si>
  <si>
    <t>L'Affaire Tapner</t>
  </si>
  <si>
    <t>978-2-253-05006-3</t>
  </si>
  <si>
    <t>Guy Rosa</t>
  </si>
  <si>
    <t>Lais</t>
  </si>
  <si>
    <t>Marie de France</t>
  </si>
  <si>
    <t>978-2-07-288456-6</t>
  </si>
  <si>
    <t>Philippe Walter</t>
  </si>
  <si>
    <t>L'Antéchrist</t>
  </si>
  <si>
    <t>978-2-0802-7802-9</t>
  </si>
  <si>
    <t>L'Appel de la forêt</t>
  </si>
  <si>
    <t>978-2-07-284713-4</t>
  </si>
  <si>
    <t>Antoine Cazé</t>
  </si>
  <si>
    <t>L'Architecture grecque</t>
  </si>
  <si>
    <t>Marie-Christine Hellmann</t>
  </si>
  <si>
    <t>978-2-253-90544-8</t>
  </si>
  <si>
    <t>L'Art d'aimer</t>
  </si>
  <si>
    <t>Ovide</t>
  </si>
  <si>
    <t>978-2-07-036532-6</t>
  </si>
  <si>
    <t>Hubert Juin</t>
  </si>
  <si>
    <t>Henri Bornecquue</t>
  </si>
  <si>
    <t>L'Art de la guerre</t>
  </si>
  <si>
    <t>Sun Tzu</t>
  </si>
  <si>
    <t>Chinois</t>
  </si>
  <si>
    <t>Pluriel</t>
  </si>
  <si>
    <t>978-2-818-50496-3</t>
  </si>
  <si>
    <t>Jean Lévi</t>
  </si>
  <si>
    <t>L'Art poétique</t>
  </si>
  <si>
    <t>L'Assemblée des femmes</t>
  </si>
  <si>
    <t>Aristophane</t>
  </si>
  <si>
    <t>978-2-0814-5167-4</t>
  </si>
  <si>
    <t>Marion Bonneau</t>
  </si>
  <si>
    <t>Marc-Jean Alfonsi</t>
  </si>
  <si>
    <t>L'Assomoir</t>
  </si>
  <si>
    <t>978-2-253-00285-7</t>
  </si>
  <si>
    <t>Jacques Dubois</t>
  </si>
  <si>
    <t>L'Avare</t>
  </si>
  <si>
    <t>978-2-07-045002-2</t>
  </si>
  <si>
    <t>Le Banquet</t>
  </si>
  <si>
    <t>978-2-0813-8264-0</t>
  </si>
  <si>
    <t>Le Barbier de Séville</t>
  </si>
  <si>
    <t>Pierre-Augustin de Beaumarchais</t>
  </si>
  <si>
    <t>9786-2-0814-2779-2</t>
  </si>
  <si>
    <t>Jean Goldzink</t>
  </si>
  <si>
    <t>Le Bourgeois gentilhomme</t>
  </si>
  <si>
    <t>978-2-07-045000-8</t>
  </si>
  <si>
    <t>Le Cas Wagner</t>
  </si>
  <si>
    <t>978-2-0814-2157-8</t>
  </si>
  <si>
    <t>Christian Jambet</t>
  </si>
  <si>
    <t>Henri Albert</t>
  </si>
  <si>
    <t>Le Cid</t>
  </si>
  <si>
    <t>978-2-07-040918-1</t>
  </si>
  <si>
    <t>Jean Serroy</t>
  </si>
  <si>
    <t>Le Comte de Monte-Cristo</t>
  </si>
  <si>
    <t>Alexandre Dumas</t>
  </si>
  <si>
    <t>978-2-07-289564-7</t>
  </si>
  <si>
    <t>Jean-Yves Tadié</t>
  </si>
  <si>
    <t>Le Crépuscule des idoles</t>
  </si>
  <si>
    <t>Le Curé de Tours</t>
  </si>
  <si>
    <t>978-2-07-036717-7</t>
  </si>
  <si>
    <t>Anne-Marie Meininger</t>
  </si>
  <si>
    <t>Le dernier jour d'un condamné</t>
  </si>
  <si>
    <t>Le Dictionnaire d'anglais</t>
  </si>
  <si>
    <t>Carine Girac-Marinier</t>
  </si>
  <si>
    <t>Harrap</t>
  </si>
  <si>
    <t>Harrap's Shorter</t>
  </si>
  <si>
    <t>978-2-81-870721-0</t>
  </si>
  <si>
    <t>Le Fou d'Elsa</t>
  </si>
  <si>
    <t>978-2-07-042411-5</t>
  </si>
  <si>
    <t>Le gai savoir</t>
  </si>
  <si>
    <t>978-2-0815-1085-2</t>
  </si>
  <si>
    <t>Patrick Wotling</t>
  </si>
  <si>
    <t>Le Horla</t>
  </si>
  <si>
    <t>978-2-07-040925-9</t>
  </si>
  <si>
    <t>André Fermigier</t>
  </si>
  <si>
    <t>Le Joueur</t>
  </si>
  <si>
    <t>Ruse</t>
  </si>
  <si>
    <t>978-2-07-283647-3</t>
  </si>
  <si>
    <t>Dominique Fernandez</t>
  </si>
  <si>
    <t>Sylvie Luneau</t>
  </si>
  <si>
    <t>Le Joueur d'échecs</t>
  </si>
  <si>
    <t>Stefan Zweig</t>
  </si>
  <si>
    <t>978-2-253-17407-3</t>
  </si>
  <si>
    <t>Gérard Rudent</t>
  </si>
  <si>
    <t>Le Journal d'Anne Frank</t>
  </si>
  <si>
    <t>Anne Frank</t>
  </si>
  <si>
    <t>978-2-253-07309-3</t>
  </si>
  <si>
    <t>Bernd Buddy Elias</t>
  </si>
  <si>
    <t>Isabelle Rosselin</t>
  </si>
  <si>
    <t>Le Livre des symboles</t>
  </si>
  <si>
    <t>ARAS</t>
  </si>
  <si>
    <t>978-3-8365-2574-9</t>
  </si>
  <si>
    <t>Arnaud Briand</t>
  </si>
  <si>
    <t>Le Malade imaginaire</t>
  </si>
  <si>
    <t>978-2-07-291288-7</t>
  </si>
  <si>
    <t>Le Malaise dans la culture</t>
  </si>
  <si>
    <t>Sigmund Freud</t>
  </si>
  <si>
    <t>978-2-0814-9365-0</t>
  </si>
  <si>
    <t>Dorian Astor</t>
  </si>
  <si>
    <t>Le Médecin malgré lui</t>
  </si>
  <si>
    <t>978-2-0802-5938-7</t>
  </si>
  <si>
    <t>Lise Michel</t>
  </si>
  <si>
    <t>Le Misanthrope</t>
  </si>
  <si>
    <t>978-2-0802-6880-8</t>
  </si>
  <si>
    <t>Loïc Marcou</t>
  </si>
  <si>
    <t>Le Parti pris des choses</t>
  </si>
  <si>
    <t>Le Père Goriot</t>
  </si>
  <si>
    <t>Les Classiques de Poche</t>
  </si>
  <si>
    <t>978-2-253-08579-9</t>
  </si>
  <si>
    <t>Stéphane Vachon</t>
  </si>
  <si>
    <t>Le Prince</t>
  </si>
  <si>
    <t>Nicolas Machiavel</t>
  </si>
  <si>
    <t>978-2-0807-0317-0</t>
  </si>
  <si>
    <t>Yves Lévy</t>
  </si>
  <si>
    <t>Le Procès</t>
  </si>
  <si>
    <t>978-2-07-037840-1</t>
  </si>
  <si>
    <t>Claude David</t>
  </si>
  <si>
    <t>Alexandre Vialatte</t>
  </si>
  <si>
    <t>Le Rêve de Bismark</t>
  </si>
  <si>
    <t>Le Rire</t>
  </si>
  <si>
    <t>978-2-0812-7966-7</t>
  </si>
  <si>
    <t>Daniel Grojnowski</t>
  </si>
  <si>
    <t>Le Rouge et le noir</t>
  </si>
  <si>
    <t>Stendhal</t>
  </si>
  <si>
    <t>978-2-253-07749-7</t>
  </si>
  <si>
    <t>Michel Crouzet</t>
  </si>
  <si>
    <t>Le Saint Coran</t>
  </si>
  <si>
    <t>Arabe</t>
  </si>
  <si>
    <t>ALBOURAQ</t>
  </si>
  <si>
    <t>979-1-02-250534-5</t>
  </si>
  <si>
    <t>Le Songe</t>
  </si>
  <si>
    <t>Joachim du Bellay</t>
  </si>
  <si>
    <t>978-2-253-16107-3</t>
  </si>
  <si>
    <t>François Roudaut</t>
  </si>
  <si>
    <t>Le Symbole perdu</t>
  </si>
  <si>
    <t>978-2-253-13417-6</t>
  </si>
  <si>
    <t>Le Tartuffe</t>
  </si>
  <si>
    <t>978-2-07-044994-1</t>
  </si>
  <si>
    <t>Le Tour du monde en quatre-vingts jours</t>
  </si>
  <si>
    <t>Jules Verne</t>
  </si>
  <si>
    <t>Lire c'est partir</t>
  </si>
  <si>
    <t>978-2-350-24126-5</t>
  </si>
  <si>
    <t>Le Ventre de Paris</t>
  </si>
  <si>
    <t>978-2-253-00562-9</t>
  </si>
  <si>
    <t>Robert Abirached</t>
  </si>
  <si>
    <t>L'Ecole des femmes</t>
  </si>
  <si>
    <t>978-2-07-044997-2</t>
  </si>
  <si>
    <t>L'Education sentimentale</t>
  </si>
  <si>
    <t>Gustave Flaubert</t>
  </si>
  <si>
    <t>978-2-253-01069-2</t>
  </si>
  <si>
    <t>Pierre-Marc de Biasi</t>
  </si>
  <si>
    <t>L'Enfant de la haute mer</t>
  </si>
  <si>
    <t>Jules Supervielle</t>
  </si>
  <si>
    <t>978-2-07-036252-3</t>
  </si>
  <si>
    <t>Léonard de Vinci - Tout l'œuvre peint</t>
  </si>
  <si>
    <t>Frank Zöllner</t>
  </si>
  <si>
    <t>978-3-8365-6296-6</t>
  </si>
  <si>
    <t>Les Amours</t>
  </si>
  <si>
    <t>Pierre de Ronsard</t>
  </si>
  <si>
    <t>978-2-253-24020-4</t>
  </si>
  <si>
    <t>Les Antiquités de Rome</t>
  </si>
  <si>
    <t>Les Caractères</t>
  </si>
  <si>
    <t>Jean de La Bruyère</t>
  </si>
  <si>
    <t>978-2-253-01505-5</t>
  </si>
  <si>
    <t>Emmanuel Bury</t>
  </si>
  <si>
    <t>aoüt 2022</t>
  </si>
  <si>
    <t>Les Cavaliers</t>
  </si>
  <si>
    <t>Les Cercueils de zinc</t>
  </si>
  <si>
    <t>978-2-330-14773-0</t>
  </si>
  <si>
    <t>Wladimir Berelowitch</t>
  </si>
  <si>
    <t>Les Châtiments</t>
  </si>
  <si>
    <t>978-2-253-01686-1</t>
  </si>
  <si>
    <t>Jean-Marie Gleize</t>
  </si>
  <si>
    <t>Les Contemplations</t>
  </si>
  <si>
    <t>978-2-07-032050-9</t>
  </si>
  <si>
    <t>Léon-Paul Fargue</t>
  </si>
  <si>
    <t>Les Déserts de l'amour</t>
  </si>
  <si>
    <t>Les Dessous des chefs-d'œuvre</t>
  </si>
  <si>
    <t>Rainer Hagen</t>
  </si>
  <si>
    <t>978-3-8365-5925-6</t>
  </si>
  <si>
    <t>Les fausses confidences</t>
  </si>
  <si>
    <t>978-2-0815-1634-2</t>
  </si>
  <si>
    <t>Catherine Naugrette</t>
  </si>
  <si>
    <t>Les Fleurs du mal</t>
  </si>
  <si>
    <t>978-2-253-00710-4</t>
  </si>
  <si>
    <t>Les Fourberies de Scapin</t>
  </si>
  <si>
    <t>978-2-07-044999-6</t>
  </si>
  <si>
    <t>Les Frères Karamazov</t>
  </si>
  <si>
    <t>978-2-253-06707-8</t>
  </si>
  <si>
    <t>Nicolas Berdiaeff</t>
  </si>
  <si>
    <t>Elisabeth Guertik</t>
  </si>
  <si>
    <t>Les Géorgiques</t>
  </si>
  <si>
    <t>978-2-0802-8293-4</t>
  </si>
  <si>
    <t>Les Immondes</t>
  </si>
  <si>
    <t>Les Liaisons dangereuses</t>
  </si>
  <si>
    <t>Choderlos de Laclos</t>
  </si>
  <si>
    <t>978-2-253-00401-1</t>
  </si>
  <si>
    <t>Michel Delon</t>
  </si>
  <si>
    <t>Les Métamorphoses</t>
  </si>
  <si>
    <t>978-2-07-038564-5</t>
  </si>
  <si>
    <t>Jean-Pierre Néraudau</t>
  </si>
  <si>
    <t>Georges Lafaye</t>
  </si>
  <si>
    <t>Les Misérables</t>
  </si>
  <si>
    <t>978-2-07-273067-2</t>
  </si>
  <si>
    <t>Yves Gohin</t>
  </si>
  <si>
    <t>Les Phéniciennes</t>
  </si>
  <si>
    <t>Les Politiques</t>
  </si>
  <si>
    <t>978-2-0813-5877-5</t>
  </si>
  <si>
    <t>Les Regrets</t>
  </si>
  <si>
    <t>Les Rêveries du promeneur solitaire</t>
  </si>
  <si>
    <t>978-2-0812-7526-3</t>
  </si>
  <si>
    <t>Erik Leborgne</t>
  </si>
  <si>
    <t>Les Satires</t>
  </si>
  <si>
    <t>Les Travaux et les jours</t>
  </si>
  <si>
    <t>Les trois mousquetaires</t>
  </si>
  <si>
    <t>978-2-07-041768-1</t>
  </si>
  <si>
    <t>Roger Nimier</t>
  </si>
  <si>
    <t>Les Troyennes</t>
  </si>
  <si>
    <t>Les Vers du capitaine</t>
  </si>
  <si>
    <t>Pablo Néruda</t>
  </si>
  <si>
    <t>978-2-07-040421-6</t>
  </si>
  <si>
    <t>Claude Couffond</t>
  </si>
  <si>
    <t>Les Voyages de Gulliver</t>
  </si>
  <si>
    <t>Jonathan Swift</t>
  </si>
  <si>
    <t>Irlandais</t>
  </si>
  <si>
    <t>978-2-0813-4243-9</t>
  </si>
  <si>
    <t>Alexis Tadié</t>
  </si>
  <si>
    <t>Guillaume Villeneuve</t>
  </si>
  <si>
    <t>Les Yeux fertiles</t>
  </si>
  <si>
    <t>L'Ethique</t>
  </si>
  <si>
    <t>Baruch Spinoza</t>
  </si>
  <si>
    <t>Néerlandais</t>
  </si>
  <si>
    <t>Folio Essais</t>
  </si>
  <si>
    <t>978-2-07-032829-1</t>
  </si>
  <si>
    <t>Roland Caillois</t>
  </si>
  <si>
    <t>L'Etranger</t>
  </si>
  <si>
    <t>Albert Camus</t>
  </si>
  <si>
    <t>978-2-07-036002-4</t>
  </si>
  <si>
    <t>Lettre à Marcella</t>
  </si>
  <si>
    <t>Porphyre</t>
  </si>
  <si>
    <t>978-2-0814-7826-8</t>
  </si>
  <si>
    <t>Jean-François Pradeau</t>
  </si>
  <si>
    <t>Lettre à Ménécée</t>
  </si>
  <si>
    <t>Epicure</t>
  </si>
  <si>
    <t>978-2-0807-1274-5</t>
  </si>
  <si>
    <t>Pierre-Marie Morel</t>
  </si>
  <si>
    <t>Lettre d'Erasme à Dorpius</t>
  </si>
  <si>
    <t>Lettres de mon moulin</t>
  </si>
  <si>
    <t>Alphonse Daudet</t>
  </si>
  <si>
    <t>978-2-07-040899-3</t>
  </si>
  <si>
    <t>Daniel Bergez</t>
  </si>
  <si>
    <t>Lettres persanes</t>
  </si>
  <si>
    <t>Montesquieu</t>
  </si>
  <si>
    <t>978-2-0814-8972-1</t>
  </si>
  <si>
    <t>Laurence Macé</t>
  </si>
  <si>
    <t>Lettres, maximes</t>
  </si>
  <si>
    <t>978-2-0814-1604-8</t>
  </si>
  <si>
    <t>L'Existentialisme est un humanisme</t>
  </si>
  <si>
    <t>Jean-Paul Sartre</t>
  </si>
  <si>
    <t>978-2-07-032913-7</t>
  </si>
  <si>
    <t>Arlette Elkaïm-Sartre</t>
  </si>
  <si>
    <t>L'Ile au trésor</t>
  </si>
  <si>
    <t>Robert Louis Stevenson</t>
  </si>
  <si>
    <t>Ecossais</t>
  </si>
  <si>
    <t>978-2-253-00368-7</t>
  </si>
  <si>
    <t>André Bay</t>
  </si>
  <si>
    <t>L'Ile des esclaves</t>
  </si>
  <si>
    <t>978-2-0815-1635-9</t>
  </si>
  <si>
    <t>Florence Magnot-Ogilvy</t>
  </si>
  <si>
    <t>L'Ingénu</t>
  </si>
  <si>
    <t>978-2-253-13940-9</t>
  </si>
  <si>
    <t>Edouard Guitton</t>
  </si>
  <si>
    <t>L'insoutenable légèreté de l'être</t>
  </si>
  <si>
    <t>Milan Kundera</t>
  </si>
  <si>
    <t>Tchèque</t>
  </si>
  <si>
    <t>978-2-07-289265-3</t>
  </si>
  <si>
    <t>François Kérel</t>
  </si>
  <si>
    <t>L'Œuvre</t>
  </si>
  <si>
    <t>978-2-07-289544-9</t>
  </si>
  <si>
    <t>Bruno Foucart</t>
  </si>
  <si>
    <t>Lorenzaccio</t>
  </si>
  <si>
    <t>Alfred de Musset</t>
  </si>
  <si>
    <t>978-2-0814-9480-0</t>
  </si>
  <si>
    <t>Macbeth</t>
  </si>
  <si>
    <t>978-2-07-046849-2</t>
  </si>
  <si>
    <t>Madame Bovary</t>
  </si>
  <si>
    <t>978-2-253-18346-4</t>
  </si>
  <si>
    <t>Jacques Neefs</t>
  </si>
  <si>
    <t>Manuel d'Epictète</t>
  </si>
  <si>
    <t>Epictète</t>
  </si>
  <si>
    <t>978-2-0807-0016-2</t>
  </si>
  <si>
    <t>Mario Meunier</t>
  </si>
  <si>
    <t>Maths - MPSI - Tout-en-un</t>
  </si>
  <si>
    <t>Claude Deschamps</t>
  </si>
  <si>
    <t>Dunod</t>
  </si>
  <si>
    <t>Tout-en-un</t>
  </si>
  <si>
    <t>978-2-10-077659-7</t>
  </si>
  <si>
    <t>Médée</t>
  </si>
  <si>
    <t>Méditations métaphysiques</t>
  </si>
  <si>
    <t>978-2-0812-6536-3</t>
  </si>
  <si>
    <t>Pierre-Marie Beyssade</t>
  </si>
  <si>
    <t>Méditations poétiques</t>
  </si>
  <si>
    <t>Michel-Ange - L'œuvre peint, sculpté et architectural complet</t>
  </si>
  <si>
    <t>978-3-8395-3715-6</t>
  </si>
  <si>
    <t>Moby Dick</t>
  </si>
  <si>
    <t>Herman Melville</t>
  </si>
  <si>
    <t>978-2-07-040066-9</t>
  </si>
  <si>
    <t>Jean Giono</t>
  </si>
  <si>
    <t>Monet - Le triomphe de l'impressionnisme</t>
  </si>
  <si>
    <t>Daniel Wildenstein</t>
  </si>
  <si>
    <t>978-3-8365-5100-7</t>
  </si>
  <si>
    <t>Nana</t>
  </si>
  <si>
    <t>978-2-253-00365-6</t>
  </si>
  <si>
    <t>Auguste Dezalay</t>
  </si>
  <si>
    <t>Notre-Dame de Paris</t>
  </si>
  <si>
    <t>978-2-253-00968-9</t>
  </si>
  <si>
    <t>Jacques Seebacher</t>
  </si>
  <si>
    <t>Nouvelles méditations poétiques</t>
  </si>
  <si>
    <t>Odes</t>
  </si>
  <si>
    <t>978-2-07-042042-6</t>
  </si>
  <si>
    <t>Claude-André Tabart</t>
  </si>
  <si>
    <t>Odes politiques</t>
  </si>
  <si>
    <t>Odyssée</t>
  </si>
  <si>
    <t>978-2-0813-9743-9</t>
  </si>
  <si>
    <t>Médéric Dufour</t>
  </si>
  <si>
    <t>Œdipe</t>
  </si>
  <si>
    <t>Œdipe roi</t>
  </si>
  <si>
    <t>978-2-07-046621-4</t>
  </si>
  <si>
    <t>Jean Grosjean</t>
  </si>
  <si>
    <t>On n'y voit rien</t>
  </si>
  <si>
    <t>Daniel Arasse</t>
  </si>
  <si>
    <t>Folio essais</t>
  </si>
  <si>
    <t>978-2-07-042764-2</t>
  </si>
  <si>
    <t>Origine</t>
  </si>
  <si>
    <t>978-2-7096-5980-2</t>
  </si>
  <si>
    <t>Pantagruel</t>
  </si>
  <si>
    <t>978-2-07-036387-2</t>
  </si>
  <si>
    <t>Pierre Michel</t>
  </si>
  <si>
    <t>Par-delà bien et mal</t>
  </si>
  <si>
    <t>978-2-07-032430-9</t>
  </si>
  <si>
    <t>Cornélius Heim</t>
  </si>
  <si>
    <t>Paroles</t>
  </si>
  <si>
    <t>Jacques Prévert</t>
  </si>
  <si>
    <t>978-2-07-036762-7</t>
  </si>
  <si>
    <t>Pauline</t>
  </si>
  <si>
    <t>978-2-07-041230-3</t>
  </si>
  <si>
    <t>Anne-Marie Callet-Bianco</t>
  </si>
  <si>
    <t>Pensées</t>
  </si>
  <si>
    <t>Blaise Pascal</t>
  </si>
  <si>
    <t>978-2-0813-6665-7</t>
  </si>
  <si>
    <t>Dominique Descotes</t>
  </si>
  <si>
    <t>Pensées pour moi-même</t>
  </si>
  <si>
    <t>Marc Aurèle</t>
  </si>
  <si>
    <t>Phèdre</t>
  </si>
  <si>
    <t>978-2-07-046666-5</t>
  </si>
  <si>
    <t>978-2-0815-1334-1</t>
  </si>
  <si>
    <t>Phénoménologie de l'esprit</t>
  </si>
  <si>
    <t>Georg Hegel</t>
  </si>
  <si>
    <t>978-2-0812-5622-4</t>
  </si>
  <si>
    <t>Jean-Pierre Lefebvre</t>
  </si>
  <si>
    <t>Physique</t>
  </si>
  <si>
    <t>978-2-0807-0887-8</t>
  </si>
  <si>
    <t>Physique - 1ère année - MPSI-PTSI</t>
  </si>
  <si>
    <t>David Augier</t>
  </si>
  <si>
    <t>978-2-7430-1511-4</t>
  </si>
  <si>
    <t>Pierre et Jean</t>
  </si>
  <si>
    <t>978-2-08-041085-9</t>
  </si>
  <si>
    <t>Bernard Pingaud</t>
  </si>
  <si>
    <t>Pierrette</t>
  </si>
  <si>
    <t>Poèmes de l'album Zutique</t>
  </si>
  <si>
    <t>Poèmes saturniens</t>
  </si>
  <si>
    <t>Paul Verlaine</t>
  </si>
  <si>
    <t>978-2-253-09830-0</t>
  </si>
  <si>
    <t>Martine Bercot</t>
  </si>
  <si>
    <t>Poésies</t>
  </si>
  <si>
    <t>Poétique</t>
  </si>
  <si>
    <t>978-2-0807-1229-5</t>
  </si>
  <si>
    <t>Pierre Destrée</t>
  </si>
  <si>
    <t>Premiers textes</t>
  </si>
  <si>
    <t>Proêmes</t>
  </si>
  <si>
    <t>Proses évangéliques</t>
  </si>
  <si>
    <t>Recueil Demeny</t>
  </si>
  <si>
    <t>Renoir</t>
  </si>
  <si>
    <t>Gilles Néret</t>
  </si>
  <si>
    <t>978-3-8365-9208-6</t>
  </si>
  <si>
    <t>Rhétorique</t>
  </si>
  <si>
    <t>978-2-0807-1135-9</t>
  </si>
  <si>
    <t>Pierre Chiron</t>
  </si>
  <si>
    <t>Rhinocéros</t>
  </si>
  <si>
    <t>Eugène Ionesco</t>
  </si>
  <si>
    <t>978-2-07-036816-7</t>
  </si>
  <si>
    <t>Rimes</t>
  </si>
  <si>
    <t>978-2-0802-3889-4</t>
  </si>
  <si>
    <t>Risibles amours</t>
  </si>
  <si>
    <t>978-2-07-289270-7</t>
  </si>
  <si>
    <t>Robinson Crusoé</t>
  </si>
  <si>
    <t>Daniel Defoe</t>
  </si>
  <si>
    <t>978-2-07-041822-0</t>
  </si>
  <si>
    <t>Michel Baridon</t>
  </si>
  <si>
    <t>Pétrus Borel</t>
  </si>
  <si>
    <t>Romances sans paroles</t>
  </si>
  <si>
    <t>978-2-0814-2781-5</t>
  </si>
  <si>
    <t>Arnaud Bernadet</t>
  </si>
  <si>
    <t>Roméo et Juliette</t>
  </si>
  <si>
    <t>978-2-07-046848-5</t>
  </si>
  <si>
    <t>Ruy Blas</t>
  </si>
  <si>
    <t>978-2-0813-9063-8</t>
  </si>
  <si>
    <t>Sylvain Ledda</t>
  </si>
  <si>
    <t>Salem</t>
  </si>
  <si>
    <t>978-2-253-12499-3</t>
  </si>
  <si>
    <t>Sentences vaticanes</t>
  </si>
  <si>
    <t>Shining</t>
  </si>
  <si>
    <t>978-2-253-15162-3</t>
  </si>
  <si>
    <t>Joan Bernard</t>
  </si>
  <si>
    <t>Simetierre</t>
  </si>
  <si>
    <t>978-2-253-15143-2</t>
  </si>
  <si>
    <t>François Lasquin</t>
  </si>
  <si>
    <t>Son Excellence Eugène Rougon</t>
  </si>
  <si>
    <t>978-2-253-00628-2</t>
  </si>
  <si>
    <t>Philippe Hamon</t>
  </si>
  <si>
    <t>Super Bowl : 51 ans de légende</t>
  </si>
  <si>
    <t>978-2-9552918-2-5</t>
  </si>
  <si>
    <t>Sur la religion</t>
  </si>
  <si>
    <t>Arthur Schopenhauer</t>
  </si>
  <si>
    <t>978-2-0802-3550-3</t>
  </si>
  <si>
    <t>Etienne Osier</t>
  </si>
  <si>
    <t>Sur le rêve</t>
  </si>
  <si>
    <t>978-2-07-032554-2</t>
  </si>
  <si>
    <t>Didier Anzieu</t>
  </si>
  <si>
    <t>Tanakh</t>
  </si>
  <si>
    <t>Hébreu</t>
  </si>
  <si>
    <t>979-8-38-916627-1</t>
  </si>
  <si>
    <t>Théogonie</t>
  </si>
  <si>
    <t>Théorie de l'art moderne</t>
  </si>
  <si>
    <t>Paul Klee</t>
  </si>
  <si>
    <t>978-2-07-032697-6</t>
  </si>
  <si>
    <t>Pierre-Henri Gonthier</t>
  </si>
  <si>
    <t>Thyeste</t>
  </si>
  <si>
    <t>Timée</t>
  </si>
  <si>
    <t>Tragédies complètes</t>
  </si>
  <si>
    <t>Traité du ciel</t>
  </si>
  <si>
    <t>gallimard</t>
  </si>
  <si>
    <t>978-2-0807-1036-9</t>
  </si>
  <si>
    <t>Un Cœur sous une soutane</t>
  </si>
  <si>
    <t>Une Saison en enfer</t>
  </si>
  <si>
    <t>Une Vie</t>
  </si>
  <si>
    <t>978-2-07-041084-2</t>
  </si>
  <si>
    <t>Van Gogh - L'œuvre complet, peinture</t>
  </si>
  <si>
    <t>Rainer Metzger</t>
  </si>
  <si>
    <t>978-3-8365-5714-6</t>
  </si>
  <si>
    <t>Françoise Laugier-Morun</t>
  </si>
  <si>
    <t>Vermeer - L'œuvre complet</t>
  </si>
  <si>
    <t>Karl Schütz</t>
  </si>
  <si>
    <t>978-3-8365-9315-1</t>
  </si>
  <si>
    <t>Vers nouveaux</t>
  </si>
  <si>
    <t>Vie de Pytagore</t>
  </si>
  <si>
    <t>Vie d'Esope</t>
  </si>
  <si>
    <t>Xanthos</t>
  </si>
  <si>
    <t>Vingt poèmes d'amour et une chanson désespérée</t>
  </si>
  <si>
    <t>Vita Nova</t>
  </si>
  <si>
    <t>978-2-07-032140-7</t>
  </si>
  <si>
    <t>Louis-Paul Guigues</t>
  </si>
  <si>
    <t>Voyage avec un âne dans les Cévennes</t>
  </si>
  <si>
    <t>978-2-0814-1206-4</t>
  </si>
  <si>
    <t>Gilles Lapouge</t>
  </si>
  <si>
    <t>Léon Bocquet</t>
  </si>
  <si>
    <t>Yard après yard : voyage à travers un siècle de NFL</t>
  </si>
  <si>
    <t>Marco Belloni</t>
  </si>
  <si>
    <t>978-2-9552918-6-3</t>
  </si>
  <si>
    <t>Zazie dans le métro</t>
  </si>
  <si>
    <t>978-2-07-036103-8</t>
  </si>
  <si>
    <t>Pages absolues</t>
  </si>
  <si>
    <t>Pages relatives</t>
  </si>
  <si>
    <t>Numéro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</si>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</sst>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\&amp;&quot;❤️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/>
      <top style="double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double">
        <color auto="1"/>
      </top>
      <bottom style="thick">
        <color auto="1"/>
      </bottom>
      <diagonal/>
    </border>
    <border>
      <left/>
      <right style="dashed">
        <color auto="1"/>
      </right>
      <top style="double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0" fillId="0" borderId="7" xfId="0" quotePrefix="1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0" fillId="0" borderId="6" xfId="0" applyNumberFormat="1" applyBorder="1" applyAlignment="1">
      <alignment horizontal="center" vertical="center"/>
    </xf>
    <xf numFmtId="0" fontId="0" fillId="0" borderId="4" xfId="0" applyBorder="1"/>
    <xf numFmtId="17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17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15" fontId="0" fillId="0" borderId="15" xfId="0" quotePrefix="1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199"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left/>
        <right/>
        <bottom/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tabSelected="1" zoomScale="115" zoomScaleNormal="115" workbookViewId="0">
      <selection activeCell="C2" sqref="C2"/>
    </sheetView>
  </sheetViews>
  <sheetFormatPr baseColWidth="10" defaultColWidth="10.77734375" defaultRowHeight="15.6" thickTop="1" thickBottom="1" x14ac:dyDescent="0.35"/>
  <cols>
    <col min="1" max="1" width="61.77734375" style="3" customWidth="1"/>
    <col min="2" max="2" width="28" style="4" bestFit="1" customWidth="1"/>
    <col min="3" max="3" width="20.88671875" style="4" customWidth="1"/>
    <col min="4" max="5" width="20.88671875" style="5" customWidth="1"/>
    <col min="6" max="6" width="13.6640625" style="6" bestFit="1" customWidth="1"/>
    <col min="7" max="7" width="13.33203125" style="7" bestFit="1" customWidth="1"/>
    <col min="8" max="8" width="20.6640625" style="8" customWidth="1"/>
    <col min="9" max="9" width="20.6640625" style="2" customWidth="1"/>
    <col min="10" max="10" width="25.109375" style="9" bestFit="1" customWidth="1"/>
    <col min="11" max="11" width="20.6640625" style="4" customWidth="1"/>
    <col min="12" max="12" width="25.77734375" style="4" bestFit="1" customWidth="1"/>
    <col min="13" max="13" width="22.33203125" style="4" bestFit="1" customWidth="1"/>
    <col min="14" max="14" width="10.77734375" style="5" bestFit="1"/>
    <col min="15" max="15" width="12.21875" style="5" customWidth="1"/>
    <col min="16" max="16" width="11.6640625" style="5" customWidth="1"/>
    <col min="17" max="18" width="10.77734375" style="16"/>
    <col min="19" max="19" width="10.77734375" style="11"/>
    <col min="20" max="26" width="10.77734375" style="1"/>
  </cols>
  <sheetData>
    <row r="1" spans="1:26" s="20" customFormat="1" ht="15" customHeight="1" thickTop="1" thickBot="1" x14ac:dyDescent="0.35">
      <c r="A1" s="25" t="s">
        <v>0</v>
      </c>
      <c r="B1" s="21" t="s">
        <v>1</v>
      </c>
      <c r="C1" s="21" t="s">
        <v>988</v>
      </c>
      <c r="D1" s="21" t="s">
        <v>2</v>
      </c>
      <c r="E1" s="21" t="s">
        <v>3</v>
      </c>
      <c r="F1" s="26" t="s">
        <v>985</v>
      </c>
      <c r="G1" s="27" t="s">
        <v>986</v>
      </c>
      <c r="H1" s="28" t="s">
        <v>4</v>
      </c>
      <c r="I1" s="29" t="s">
        <v>987</v>
      </c>
      <c r="J1" s="21" t="s">
        <v>5</v>
      </c>
      <c r="K1" s="21" t="s">
        <v>6</v>
      </c>
      <c r="L1" s="21" t="s">
        <v>7</v>
      </c>
      <c r="M1" s="21" t="s">
        <v>8</v>
      </c>
      <c r="N1" s="21" t="s">
        <v>9</v>
      </c>
      <c r="O1" s="22" t="s">
        <v>10</v>
      </c>
      <c r="P1" s="22" t="s">
        <v>11</v>
      </c>
      <c r="Q1" s="21" t="s">
        <v>12</v>
      </c>
      <c r="R1" s="23" t="s">
        <v>13</v>
      </c>
      <c r="S1" s="24" t="s">
        <v>14</v>
      </c>
      <c r="T1" s="19"/>
      <c r="U1" s="19"/>
      <c r="V1" s="19"/>
      <c r="W1" s="19"/>
      <c r="X1" s="19"/>
      <c r="Y1" s="19"/>
      <c r="Z1" s="19"/>
    </row>
    <row r="2" spans="1:26" thickTop="1" thickBot="1" x14ac:dyDescent="0.35">
      <c r="A2" s="30">
        <v>1984</v>
      </c>
      <c r="B2" s="31" t="s">
        <v>15</v>
      </c>
      <c r="C2" s="31">
        <v>1949</v>
      </c>
      <c r="D2" s="32" t="s">
        <v>16</v>
      </c>
      <c r="E2" s="32" t="s">
        <v>17</v>
      </c>
      <c r="F2" s="33">
        <f>391-4</f>
        <v>387</v>
      </c>
      <c r="G2" s="34">
        <v>420</v>
      </c>
      <c r="H2" s="35" t="s">
        <v>18</v>
      </c>
      <c r="I2" s="36">
        <v>822</v>
      </c>
      <c r="J2" s="37" t="s">
        <v>19</v>
      </c>
      <c r="K2" s="31" t="s">
        <v>20</v>
      </c>
      <c r="L2" s="36" t="str">
        <f>""</f>
        <v/>
      </c>
      <c r="M2" s="31" t="s">
        <v>21</v>
      </c>
      <c r="N2" s="38">
        <v>42914</v>
      </c>
      <c r="O2" s="39" t="s">
        <v>22</v>
      </c>
      <c r="P2" s="39" t="s">
        <v>22</v>
      </c>
      <c r="Q2" s="32" t="s">
        <v>22</v>
      </c>
      <c r="R2" s="40" t="s">
        <v>23</v>
      </c>
      <c r="S2" s="41" t="s">
        <v>23</v>
      </c>
    </row>
    <row r="3" spans="1:26" thickTop="1" thickBot="1" x14ac:dyDescent="0.35">
      <c r="A3" s="3" t="s">
        <v>24</v>
      </c>
      <c r="B3" s="4" t="s">
        <v>25</v>
      </c>
      <c r="C3" s="4">
        <v>53</v>
      </c>
      <c r="D3" s="5" t="s">
        <v>26</v>
      </c>
      <c r="E3" s="5" t="s">
        <v>27</v>
      </c>
      <c r="F3" s="6">
        <f>763-702</f>
        <v>61</v>
      </c>
      <c r="G3" s="7">
        <v>110</v>
      </c>
      <c r="H3" s="8" t="s">
        <v>18</v>
      </c>
      <c r="I3" s="2">
        <v>7143</v>
      </c>
      <c r="J3" s="9" t="s">
        <v>28</v>
      </c>
      <c r="K3" s="4" t="s">
        <v>29</v>
      </c>
      <c r="L3" s="4" t="s">
        <v>30</v>
      </c>
      <c r="M3" s="4" t="s">
        <v>30</v>
      </c>
      <c r="N3" s="10">
        <v>44867</v>
      </c>
      <c r="O3" s="10" t="s">
        <v>23</v>
      </c>
      <c r="P3" s="10" t="s">
        <v>22</v>
      </c>
      <c r="Q3" s="5" t="s">
        <v>22</v>
      </c>
      <c r="R3" s="5" t="s">
        <v>23</v>
      </c>
      <c r="S3" s="11" t="s">
        <v>23</v>
      </c>
    </row>
    <row r="4" spans="1:26" thickTop="1" thickBot="1" x14ac:dyDescent="0.35">
      <c r="A4" s="3" t="s">
        <v>31</v>
      </c>
      <c r="B4" s="4" t="s">
        <v>32</v>
      </c>
      <c r="C4" s="4">
        <v>1885</v>
      </c>
      <c r="D4" s="5" t="s">
        <v>33</v>
      </c>
      <c r="E4" s="5" t="s">
        <v>34</v>
      </c>
      <c r="F4" s="6">
        <f>387-40</f>
        <v>347</v>
      </c>
      <c r="G4" s="7">
        <v>484</v>
      </c>
      <c r="H4" s="8" t="s">
        <v>18</v>
      </c>
      <c r="I4" s="2">
        <v>1302</v>
      </c>
      <c r="J4" s="9" t="s">
        <v>35</v>
      </c>
      <c r="K4" s="4" t="s">
        <v>36</v>
      </c>
      <c r="L4" s="4" t="s">
        <v>37</v>
      </c>
      <c r="M4" s="4" t="s">
        <v>38</v>
      </c>
      <c r="N4" s="2" t="str">
        <f>""</f>
        <v/>
      </c>
      <c r="O4" s="5" t="s">
        <v>22</v>
      </c>
      <c r="P4" s="5" t="s">
        <v>22</v>
      </c>
      <c r="Q4" s="5" t="s">
        <v>22</v>
      </c>
      <c r="R4" s="5" t="s">
        <v>22</v>
      </c>
      <c r="S4" s="11" t="s">
        <v>23</v>
      </c>
    </row>
    <row r="5" spans="1:26" thickTop="1" thickBot="1" x14ac:dyDescent="0.35">
      <c r="A5" s="3" t="s">
        <v>39</v>
      </c>
      <c r="B5" s="4" t="s">
        <v>40</v>
      </c>
      <c r="C5" s="4">
        <v>1913</v>
      </c>
      <c r="D5" s="5" t="s">
        <v>41</v>
      </c>
      <c r="E5" s="5" t="s">
        <v>42</v>
      </c>
      <c r="F5" s="6">
        <f>192-40</f>
        <v>152</v>
      </c>
      <c r="G5" s="7">
        <v>232</v>
      </c>
      <c r="H5" s="8" t="s">
        <v>35</v>
      </c>
      <c r="I5" s="2" t="str">
        <f>""</f>
        <v/>
      </c>
      <c r="J5" s="9" t="s">
        <v>43</v>
      </c>
      <c r="K5" s="4" t="s">
        <v>44</v>
      </c>
      <c r="L5" s="4" t="s">
        <v>45</v>
      </c>
      <c r="M5" s="2" t="str">
        <f>""</f>
        <v/>
      </c>
      <c r="N5" s="2" t="str">
        <f>""</f>
        <v/>
      </c>
      <c r="O5" s="5" t="s">
        <v>22</v>
      </c>
      <c r="P5" s="10" t="s">
        <v>22</v>
      </c>
      <c r="Q5" s="5" t="s">
        <v>23</v>
      </c>
      <c r="R5" s="2" t="str">
        <f>""</f>
        <v/>
      </c>
      <c r="S5" s="11" t="s">
        <v>22</v>
      </c>
    </row>
    <row r="6" spans="1:26" thickTop="1" thickBot="1" x14ac:dyDescent="0.35">
      <c r="A6" s="3" t="s">
        <v>46</v>
      </c>
      <c r="B6" s="4" t="s">
        <v>47</v>
      </c>
      <c r="C6" s="4">
        <v>1991</v>
      </c>
      <c r="D6" s="5" t="s">
        <v>48</v>
      </c>
      <c r="E6" s="5" t="s">
        <v>49</v>
      </c>
      <c r="F6" s="6">
        <v>525</v>
      </c>
      <c r="G6" s="7">
        <v>532</v>
      </c>
      <c r="H6" s="12" t="s">
        <v>50</v>
      </c>
      <c r="I6" s="2">
        <v>3773</v>
      </c>
      <c r="J6" s="2" t="str">
        <f>""</f>
        <v/>
      </c>
      <c r="K6" s="4" t="s">
        <v>51</v>
      </c>
      <c r="L6" s="2" t="str">
        <f>""</f>
        <v/>
      </c>
      <c r="M6" s="4" t="s">
        <v>52</v>
      </c>
      <c r="N6" s="2" t="str">
        <f>""</f>
        <v/>
      </c>
      <c r="O6" s="5" t="s">
        <v>22</v>
      </c>
      <c r="P6" s="10" t="s">
        <v>22</v>
      </c>
      <c r="Q6" s="5" t="s">
        <v>22</v>
      </c>
      <c r="R6" s="5" t="s">
        <v>22</v>
      </c>
      <c r="S6" s="11" t="s">
        <v>23</v>
      </c>
    </row>
    <row r="7" spans="1:26" thickTop="1" thickBot="1" x14ac:dyDescent="0.35">
      <c r="A7" s="3" t="s">
        <v>53</v>
      </c>
      <c r="B7" s="4" t="s">
        <v>54</v>
      </c>
      <c r="C7" s="4">
        <v>1668</v>
      </c>
      <c r="D7" s="5" t="s">
        <v>26</v>
      </c>
      <c r="E7" s="5" t="s">
        <v>42</v>
      </c>
      <c r="F7" s="6">
        <f>128-18</f>
        <v>110</v>
      </c>
      <c r="G7" s="7">
        <v>196</v>
      </c>
      <c r="H7" s="8" t="s">
        <v>18</v>
      </c>
      <c r="I7" s="2">
        <v>3236</v>
      </c>
      <c r="J7" s="9" t="s">
        <v>28</v>
      </c>
      <c r="K7" s="4" t="s">
        <v>55</v>
      </c>
      <c r="L7" s="4" t="s">
        <v>56</v>
      </c>
      <c r="M7" s="2" t="str">
        <f>""</f>
        <v/>
      </c>
      <c r="N7" s="13">
        <v>44760</v>
      </c>
      <c r="O7" s="5" t="s">
        <v>22</v>
      </c>
      <c r="P7" s="10" t="s">
        <v>22</v>
      </c>
      <c r="Q7" s="5" t="s">
        <v>23</v>
      </c>
      <c r="R7" s="2" t="str">
        <f>""</f>
        <v/>
      </c>
      <c r="S7" s="11" t="s">
        <v>23</v>
      </c>
    </row>
    <row r="8" spans="1:26" thickTop="1" thickBot="1" x14ac:dyDescent="0.35">
      <c r="A8" s="3" t="s">
        <v>57</v>
      </c>
      <c r="B8" s="4" t="s">
        <v>58</v>
      </c>
      <c r="C8" s="4">
        <v>2000</v>
      </c>
      <c r="D8" s="5" t="s">
        <v>48</v>
      </c>
      <c r="E8" s="5" t="s">
        <v>49</v>
      </c>
      <c r="F8" s="6">
        <f>713-5+1</f>
        <v>709</v>
      </c>
      <c r="G8" s="7">
        <v>724</v>
      </c>
      <c r="H8" s="8" t="s">
        <v>59</v>
      </c>
      <c r="I8" s="2">
        <v>33703</v>
      </c>
      <c r="J8" s="9" t="s">
        <v>60</v>
      </c>
      <c r="K8" s="4" t="s">
        <v>61</v>
      </c>
      <c r="L8" s="2" t="str">
        <f>""</f>
        <v/>
      </c>
      <c r="M8" s="4" t="s">
        <v>62</v>
      </c>
      <c r="N8" s="10">
        <v>42403</v>
      </c>
      <c r="O8" s="5" t="s">
        <v>22</v>
      </c>
      <c r="P8" s="10" t="s">
        <v>22</v>
      </c>
      <c r="Q8" s="5" t="s">
        <v>22</v>
      </c>
      <c r="R8" s="5" t="s">
        <v>22</v>
      </c>
      <c r="S8" s="11" t="s">
        <v>23</v>
      </c>
    </row>
    <row r="9" spans="1:26" thickTop="1" thickBot="1" x14ac:dyDescent="0.35">
      <c r="A9" s="3" t="s">
        <v>63</v>
      </c>
      <c r="B9" s="4" t="s">
        <v>64</v>
      </c>
      <c r="C9" s="4">
        <v>1999</v>
      </c>
      <c r="D9" s="5" t="s">
        <v>65</v>
      </c>
      <c r="E9" s="5" t="s">
        <v>42</v>
      </c>
      <c r="F9" s="6">
        <f>415</f>
        <v>415</v>
      </c>
      <c r="G9" s="7">
        <v>436</v>
      </c>
      <c r="H9" s="8" t="s">
        <v>66</v>
      </c>
      <c r="I9" s="2" t="str">
        <f>""</f>
        <v/>
      </c>
      <c r="J9" s="9" t="s">
        <v>67</v>
      </c>
      <c r="K9" s="4" t="s">
        <v>68</v>
      </c>
      <c r="L9" s="2" t="str">
        <f>""</f>
        <v/>
      </c>
      <c r="M9" s="2" t="str">
        <f>""</f>
        <v/>
      </c>
      <c r="N9" s="10">
        <v>43586</v>
      </c>
      <c r="O9" s="5" t="s">
        <v>22</v>
      </c>
      <c r="P9" s="10" t="s">
        <v>22</v>
      </c>
      <c r="Q9" s="5" t="s">
        <v>22</v>
      </c>
      <c r="R9" s="5" t="s">
        <v>23</v>
      </c>
      <c r="S9" s="11" t="s">
        <v>23</v>
      </c>
    </row>
    <row r="10" spans="1:26" thickTop="1" thickBot="1" x14ac:dyDescent="0.35">
      <c r="A10" s="3" t="s">
        <v>69</v>
      </c>
      <c r="B10" s="4" t="s">
        <v>70</v>
      </c>
      <c r="C10" s="4">
        <v>1877</v>
      </c>
      <c r="D10" s="5" t="s">
        <v>16</v>
      </c>
      <c r="E10" s="5" t="s">
        <v>71</v>
      </c>
      <c r="F10" s="6">
        <f>985-14</f>
        <v>971</v>
      </c>
      <c r="G10" s="7">
        <v>1034</v>
      </c>
      <c r="H10" s="8" t="s">
        <v>60</v>
      </c>
      <c r="I10" s="2">
        <v>3141</v>
      </c>
      <c r="J10" s="9" t="s">
        <v>72</v>
      </c>
      <c r="K10" s="4" t="s">
        <v>73</v>
      </c>
      <c r="L10" s="4" t="s">
        <v>74</v>
      </c>
      <c r="M10" s="4" t="s">
        <v>75</v>
      </c>
      <c r="N10" s="10">
        <v>44797</v>
      </c>
      <c r="O10" s="5" t="s">
        <v>22</v>
      </c>
      <c r="P10" s="10" t="s">
        <v>22</v>
      </c>
      <c r="Q10" s="5" t="s">
        <v>23</v>
      </c>
      <c r="R10" s="2" t="str">
        <f>""</f>
        <v/>
      </c>
      <c r="S10" s="11" t="s">
        <v>22</v>
      </c>
    </row>
    <row r="11" spans="1:26" thickTop="1" thickBot="1" x14ac:dyDescent="0.35">
      <c r="A11" s="3" t="s">
        <v>76</v>
      </c>
      <c r="B11" s="4" t="s">
        <v>77</v>
      </c>
      <c r="C11" s="4">
        <v>-441</v>
      </c>
      <c r="D11" s="5" t="s">
        <v>26</v>
      </c>
      <c r="E11" s="5" t="s">
        <v>78</v>
      </c>
      <c r="F11" s="6">
        <f>100-38</f>
        <v>62</v>
      </c>
      <c r="G11" s="7">
        <v>228</v>
      </c>
      <c r="H11" s="8" t="s">
        <v>18</v>
      </c>
      <c r="I11" s="2">
        <v>1023</v>
      </c>
      <c r="J11" s="9" t="s">
        <v>35</v>
      </c>
      <c r="K11" s="4" t="s">
        <v>79</v>
      </c>
      <c r="L11" s="4" t="s">
        <v>80</v>
      </c>
      <c r="M11" s="4" t="s">
        <v>81</v>
      </c>
      <c r="N11" s="2" t="str">
        <f>""</f>
        <v/>
      </c>
      <c r="O11" s="5" t="s">
        <v>22</v>
      </c>
      <c r="P11" s="10" t="s">
        <v>22</v>
      </c>
      <c r="Q11" s="5" t="s">
        <v>23</v>
      </c>
      <c r="R11" s="2" t="str">
        <f>""</f>
        <v/>
      </c>
      <c r="S11" s="11" t="s">
        <v>23</v>
      </c>
    </row>
    <row r="12" spans="1:26" thickTop="1" thickBot="1" x14ac:dyDescent="0.35">
      <c r="A12" s="3" t="s">
        <v>82</v>
      </c>
      <c r="B12" s="4" t="s">
        <v>83</v>
      </c>
      <c r="C12" s="4">
        <v>-390</v>
      </c>
      <c r="D12" s="5" t="s">
        <v>33</v>
      </c>
      <c r="E12" s="5" t="s">
        <v>78</v>
      </c>
      <c r="F12" s="6">
        <f>124-80</f>
        <v>44</v>
      </c>
      <c r="G12" s="7">
        <f>276/2</f>
        <v>138</v>
      </c>
      <c r="H12" s="8" t="s">
        <v>18</v>
      </c>
      <c r="I12" s="2">
        <v>848</v>
      </c>
      <c r="J12" s="9" t="s">
        <v>35</v>
      </c>
      <c r="K12" s="4" t="s">
        <v>84</v>
      </c>
      <c r="L12" s="4" t="s">
        <v>85</v>
      </c>
      <c r="M12" s="4" t="s">
        <v>85</v>
      </c>
      <c r="N12" s="13">
        <v>44044</v>
      </c>
      <c r="O12" s="5" t="s">
        <v>22</v>
      </c>
      <c r="P12" s="10" t="s">
        <v>22</v>
      </c>
      <c r="Q12" s="5" t="s">
        <v>22</v>
      </c>
      <c r="R12" s="5" t="s">
        <v>22</v>
      </c>
      <c r="S12" s="11" t="s">
        <v>23</v>
      </c>
    </row>
    <row r="13" spans="1:26" thickTop="1" thickBot="1" x14ac:dyDescent="0.35">
      <c r="A13" s="3" t="s">
        <v>86</v>
      </c>
      <c r="B13" s="4" t="s">
        <v>87</v>
      </c>
      <c r="C13" s="4">
        <v>1989</v>
      </c>
      <c r="D13" s="5" t="s">
        <v>88</v>
      </c>
      <c r="E13" s="5" t="s">
        <v>49</v>
      </c>
      <c r="F13" s="6">
        <v>617</v>
      </c>
      <c r="G13" s="7">
        <f>337*2</f>
        <v>674</v>
      </c>
      <c r="H13" s="8" t="s">
        <v>89</v>
      </c>
      <c r="I13" s="2" t="str">
        <f>""</f>
        <v/>
      </c>
      <c r="J13" s="2" t="str">
        <f>""</f>
        <v/>
      </c>
      <c r="K13" s="4" t="s">
        <v>90</v>
      </c>
      <c r="L13" s="2" t="str">
        <f>""</f>
        <v/>
      </c>
      <c r="M13" s="4" t="s">
        <v>91</v>
      </c>
      <c r="N13" s="13">
        <v>44197</v>
      </c>
      <c r="O13" s="5" t="s">
        <v>22</v>
      </c>
      <c r="P13" s="10" t="s">
        <v>22</v>
      </c>
      <c r="Q13" s="5" t="s">
        <v>22</v>
      </c>
      <c r="R13" s="5" t="s">
        <v>22</v>
      </c>
      <c r="S13" s="11" t="s">
        <v>23</v>
      </c>
    </row>
    <row r="14" spans="1:26" thickTop="1" thickBot="1" x14ac:dyDescent="0.35">
      <c r="A14" s="3" t="s">
        <v>92</v>
      </c>
      <c r="B14" s="4" t="s">
        <v>93</v>
      </c>
      <c r="C14" s="4">
        <v>2015</v>
      </c>
      <c r="D14" s="5" t="s">
        <v>88</v>
      </c>
      <c r="E14" s="5" t="s">
        <v>34</v>
      </c>
      <c r="F14" s="6">
        <f>804-2</f>
        <v>802</v>
      </c>
      <c r="G14" s="7">
        <v>840</v>
      </c>
      <c r="H14" s="8" t="s">
        <v>94</v>
      </c>
      <c r="I14" s="2" t="str">
        <f>""</f>
        <v/>
      </c>
      <c r="J14" s="9" t="s">
        <v>95</v>
      </c>
      <c r="K14" s="4" t="s">
        <v>96</v>
      </c>
      <c r="L14" s="2" t="str">
        <f>""</f>
        <v/>
      </c>
      <c r="M14" s="2" t="str">
        <f>""</f>
        <v/>
      </c>
      <c r="N14" s="2" t="str">
        <f>""</f>
        <v/>
      </c>
      <c r="O14" s="5" t="s">
        <v>22</v>
      </c>
      <c r="P14" s="10" t="s">
        <v>22</v>
      </c>
      <c r="Q14" s="5" t="s">
        <v>23</v>
      </c>
      <c r="R14" s="2" t="str">
        <f>""</f>
        <v/>
      </c>
      <c r="S14" s="11" t="s">
        <v>22</v>
      </c>
    </row>
    <row r="15" spans="1:26" thickTop="1" thickBot="1" x14ac:dyDescent="0.35">
      <c r="A15" s="3" t="s">
        <v>97</v>
      </c>
      <c r="B15" s="4" t="s">
        <v>98</v>
      </c>
      <c r="C15" s="4">
        <v>1883</v>
      </c>
      <c r="D15" s="5" t="s">
        <v>16</v>
      </c>
      <c r="E15" s="5" t="s">
        <v>42</v>
      </c>
      <c r="F15" s="6">
        <f>513-42</f>
        <v>471</v>
      </c>
      <c r="G15" s="7">
        <v>548</v>
      </c>
      <c r="H15" s="8" t="s">
        <v>60</v>
      </c>
      <c r="I15" s="2">
        <v>228</v>
      </c>
      <c r="J15" s="9" t="s">
        <v>72</v>
      </c>
      <c r="K15" s="4" t="s">
        <v>99</v>
      </c>
      <c r="L15" s="4" t="s">
        <v>100</v>
      </c>
      <c r="M15" s="2" t="str">
        <f>""</f>
        <v/>
      </c>
      <c r="N15" s="13">
        <v>44317</v>
      </c>
      <c r="O15" s="5" t="s">
        <v>22</v>
      </c>
      <c r="P15" s="10" t="s">
        <v>22</v>
      </c>
      <c r="Q15" s="5" t="s">
        <v>23</v>
      </c>
      <c r="R15" s="2" t="str">
        <f>""</f>
        <v/>
      </c>
      <c r="S15" s="11" t="s">
        <v>23</v>
      </c>
    </row>
    <row r="16" spans="1:26" thickTop="1" thickBot="1" x14ac:dyDescent="0.35">
      <c r="A16" s="3" t="s">
        <v>101</v>
      </c>
      <c r="B16" s="4" t="s">
        <v>102</v>
      </c>
      <c r="C16" s="4">
        <v>1899</v>
      </c>
      <c r="D16" s="5" t="s">
        <v>41</v>
      </c>
      <c r="E16" s="5" t="s">
        <v>42</v>
      </c>
      <c r="F16" s="6">
        <f>164-86</f>
        <v>78</v>
      </c>
      <c r="G16" s="7">
        <f>340/3</f>
        <v>113.33333333333333</v>
      </c>
      <c r="H16" s="8" t="s">
        <v>18</v>
      </c>
      <c r="I16" s="2">
        <v>261</v>
      </c>
      <c r="J16" s="9" t="s">
        <v>41</v>
      </c>
      <c r="K16" s="4" t="s">
        <v>103</v>
      </c>
      <c r="L16" s="4" t="s">
        <v>104</v>
      </c>
      <c r="M16" s="2" t="str">
        <f>""</f>
        <v/>
      </c>
      <c r="N16" s="10">
        <v>44686</v>
      </c>
      <c r="O16" s="5" t="s">
        <v>23</v>
      </c>
      <c r="P16" s="10" t="s">
        <v>22</v>
      </c>
      <c r="Q16" s="5" t="s">
        <v>23</v>
      </c>
      <c r="R16" s="2" t="str">
        <f>""</f>
        <v/>
      </c>
      <c r="S16" s="11" t="s">
        <v>23</v>
      </c>
    </row>
    <row r="17" spans="1:19" thickTop="1" thickBot="1" x14ac:dyDescent="0.35">
      <c r="A17" s="3" t="s">
        <v>105</v>
      </c>
      <c r="B17" s="4" t="s">
        <v>106</v>
      </c>
      <c r="C17" s="4">
        <v>1885</v>
      </c>
      <c r="D17" s="5" t="s">
        <v>16</v>
      </c>
      <c r="E17" s="5" t="s">
        <v>42</v>
      </c>
      <c r="F17" s="6">
        <f>371-42</f>
        <v>329</v>
      </c>
      <c r="G17" s="7">
        <v>436</v>
      </c>
      <c r="H17" s="8" t="s">
        <v>18</v>
      </c>
      <c r="I17" s="2">
        <v>1356</v>
      </c>
      <c r="J17" s="9" t="s">
        <v>35</v>
      </c>
      <c r="K17" s="4" t="s">
        <v>107</v>
      </c>
      <c r="L17" s="4" t="s">
        <v>108</v>
      </c>
      <c r="M17" s="2" t="str">
        <f>""</f>
        <v/>
      </c>
      <c r="N17" s="2" t="str">
        <f>""</f>
        <v/>
      </c>
      <c r="O17" s="5" t="s">
        <v>22</v>
      </c>
      <c r="P17" s="10" t="s">
        <v>22</v>
      </c>
      <c r="Q17" s="5" t="s">
        <v>23</v>
      </c>
      <c r="R17" s="2" t="str">
        <f>""</f>
        <v/>
      </c>
      <c r="S17" s="11" t="s">
        <v>23</v>
      </c>
    </row>
    <row r="18" spans="1:19" thickTop="1" thickBot="1" x14ac:dyDescent="0.35">
      <c r="A18" s="3" t="s">
        <v>109</v>
      </c>
      <c r="B18" s="4" t="s">
        <v>110</v>
      </c>
      <c r="C18" s="4">
        <v>2020</v>
      </c>
      <c r="D18" s="5" t="s">
        <v>111</v>
      </c>
      <c r="E18" s="5" t="s">
        <v>34</v>
      </c>
      <c r="F18" s="6">
        <f>471-8</f>
        <v>463</v>
      </c>
      <c r="G18" s="7">
        <v>518</v>
      </c>
      <c r="H18" s="8" t="s">
        <v>94</v>
      </c>
      <c r="I18" s="2" t="str">
        <f>""</f>
        <v/>
      </c>
      <c r="J18" s="9" t="s">
        <v>112</v>
      </c>
      <c r="K18" s="4" t="s">
        <v>113</v>
      </c>
      <c r="L18" s="2" t="str">
        <f>""</f>
        <v/>
      </c>
      <c r="M18" s="2" t="str">
        <f>""</f>
        <v/>
      </c>
      <c r="N18" s="2" t="str">
        <f>""</f>
        <v/>
      </c>
      <c r="O18" s="5" t="s">
        <v>22</v>
      </c>
      <c r="P18" s="10" t="s">
        <v>22</v>
      </c>
      <c r="Q18" s="5" t="s">
        <v>22</v>
      </c>
      <c r="R18" s="5" t="s">
        <v>22</v>
      </c>
      <c r="S18" s="11" t="s">
        <v>23</v>
      </c>
    </row>
    <row r="19" spans="1:19" thickTop="1" thickBot="1" x14ac:dyDescent="0.35">
      <c r="A19" s="3" t="s">
        <v>114</v>
      </c>
      <c r="B19" s="4" t="s">
        <v>115</v>
      </c>
      <c r="C19" s="4">
        <v>-600</v>
      </c>
      <c r="D19" s="5" t="s">
        <v>41</v>
      </c>
      <c r="E19" s="5" t="s">
        <v>78</v>
      </c>
      <c r="F19" s="6">
        <f>173-144</f>
        <v>29</v>
      </c>
      <c r="G19" s="7">
        <v>105</v>
      </c>
      <c r="H19" s="8" t="s">
        <v>18</v>
      </c>
      <c r="I19" s="2">
        <v>3467</v>
      </c>
      <c r="J19" s="9" t="s">
        <v>28</v>
      </c>
      <c r="K19" s="4" t="s">
        <v>116</v>
      </c>
      <c r="L19" s="4" t="s">
        <v>117</v>
      </c>
      <c r="M19" s="4" t="s">
        <v>117</v>
      </c>
      <c r="N19" s="10">
        <v>44152</v>
      </c>
      <c r="O19" s="5" t="s">
        <v>22</v>
      </c>
      <c r="P19" s="10" t="s">
        <v>22</v>
      </c>
      <c r="Q19" s="5" t="s">
        <v>23</v>
      </c>
      <c r="R19" s="2" t="str">
        <f>""</f>
        <v/>
      </c>
      <c r="S19" s="11" t="s">
        <v>23</v>
      </c>
    </row>
    <row r="20" spans="1:19" thickTop="1" thickBot="1" x14ac:dyDescent="0.35">
      <c r="A20" s="3" t="s">
        <v>118</v>
      </c>
      <c r="B20" s="4" t="s">
        <v>106</v>
      </c>
      <c r="C20" s="4">
        <v>1880</v>
      </c>
      <c r="D20" s="5" t="s">
        <v>16</v>
      </c>
      <c r="E20" s="5" t="s">
        <v>42</v>
      </c>
      <c r="F20" s="6">
        <f>296-28</f>
        <v>268</v>
      </c>
      <c r="G20" s="7">
        <v>340</v>
      </c>
      <c r="H20" s="8" t="s">
        <v>18</v>
      </c>
      <c r="I20" s="2">
        <v>3297</v>
      </c>
      <c r="J20" s="9" t="s">
        <v>28</v>
      </c>
      <c r="K20" s="4" t="s">
        <v>119</v>
      </c>
      <c r="L20" s="4" t="s">
        <v>120</v>
      </c>
      <c r="M20" s="2" t="str">
        <f>""</f>
        <v/>
      </c>
      <c r="N20" s="10">
        <v>44867</v>
      </c>
      <c r="O20" s="5" t="s">
        <v>22</v>
      </c>
      <c r="P20" s="10" t="s">
        <v>22</v>
      </c>
      <c r="Q20" s="5" t="s">
        <v>23</v>
      </c>
      <c r="R20" s="2" t="str">
        <f>""</f>
        <v/>
      </c>
      <c r="S20" s="11" t="s">
        <v>23</v>
      </c>
    </row>
    <row r="21" spans="1:19" thickTop="1" thickBot="1" x14ac:dyDescent="0.35">
      <c r="A21" s="3" t="s">
        <v>121</v>
      </c>
      <c r="B21" s="4" t="s">
        <v>54</v>
      </c>
      <c r="C21" s="4">
        <v>1670</v>
      </c>
      <c r="D21" s="5" t="s">
        <v>26</v>
      </c>
      <c r="E21" s="5" t="s">
        <v>42</v>
      </c>
      <c r="F21" s="6">
        <f>155-30</f>
        <v>125</v>
      </c>
      <c r="G21" s="7">
        <v>228</v>
      </c>
      <c r="H21" s="8" t="s">
        <v>18</v>
      </c>
      <c r="I21" s="2">
        <v>3378</v>
      </c>
      <c r="J21" s="9" t="s">
        <v>28</v>
      </c>
      <c r="K21" s="4" t="s">
        <v>122</v>
      </c>
      <c r="L21" s="4" t="s">
        <v>123</v>
      </c>
      <c r="M21" s="2" t="str">
        <f>""</f>
        <v/>
      </c>
      <c r="N21" s="10">
        <v>44480</v>
      </c>
      <c r="O21" s="5" t="s">
        <v>22</v>
      </c>
      <c r="P21" s="10" t="s">
        <v>22</v>
      </c>
      <c r="Q21" s="5" t="s">
        <v>23</v>
      </c>
      <c r="R21" s="2" t="str">
        <f>""</f>
        <v/>
      </c>
      <c r="S21" s="11" t="s">
        <v>23</v>
      </c>
    </row>
    <row r="22" spans="1:19" thickTop="1" thickBot="1" x14ac:dyDescent="0.35">
      <c r="A22" s="3" t="s">
        <v>124</v>
      </c>
      <c r="B22" s="4" t="s">
        <v>125</v>
      </c>
      <c r="C22" s="4">
        <v>2020</v>
      </c>
      <c r="D22" s="5" t="s">
        <v>111</v>
      </c>
      <c r="E22" s="5" t="s">
        <v>34</v>
      </c>
      <c r="F22" s="6">
        <f>497-3</f>
        <v>494</v>
      </c>
      <c r="G22" s="7">
        <v>518</v>
      </c>
      <c r="H22" s="8" t="s">
        <v>94</v>
      </c>
      <c r="I22" s="2" t="str">
        <f>""</f>
        <v/>
      </c>
      <c r="J22" s="9" t="s">
        <v>112</v>
      </c>
      <c r="K22" s="4" t="s">
        <v>126</v>
      </c>
      <c r="L22" s="2" t="str">
        <f>""</f>
        <v/>
      </c>
      <c r="M22" s="2" t="str">
        <f>""</f>
        <v/>
      </c>
      <c r="N22" s="2" t="str">
        <f>""</f>
        <v/>
      </c>
      <c r="O22" s="5" t="s">
        <v>22</v>
      </c>
      <c r="P22" s="10" t="s">
        <v>22</v>
      </c>
      <c r="Q22" s="5" t="s">
        <v>23</v>
      </c>
      <c r="R22" s="2" t="str">
        <f>""</f>
        <v/>
      </c>
      <c r="S22" s="11" t="s">
        <v>23</v>
      </c>
    </row>
    <row r="23" spans="1:19" thickTop="1" thickBot="1" x14ac:dyDescent="0.35">
      <c r="A23" s="3" t="s">
        <v>127</v>
      </c>
      <c r="B23" s="4" t="s">
        <v>128</v>
      </c>
      <c r="C23" s="4">
        <v>1759</v>
      </c>
      <c r="D23" s="5" t="s">
        <v>33</v>
      </c>
      <c r="E23" s="5" t="s">
        <v>42</v>
      </c>
      <c r="F23" s="6">
        <f>167-44</f>
        <v>123</v>
      </c>
      <c r="G23" s="7">
        <v>228</v>
      </c>
      <c r="H23" s="8" t="s">
        <v>60</v>
      </c>
      <c r="I23" s="2">
        <v>3111</v>
      </c>
      <c r="J23" s="9" t="s">
        <v>72</v>
      </c>
      <c r="K23" s="4" t="s">
        <v>129</v>
      </c>
      <c r="L23" s="4" t="s">
        <v>130</v>
      </c>
      <c r="M23" s="2" t="str">
        <f>""</f>
        <v/>
      </c>
      <c r="N23" s="13">
        <v>44652</v>
      </c>
      <c r="O23" s="5" t="s">
        <v>22</v>
      </c>
      <c r="P23" s="10" t="s">
        <v>22</v>
      </c>
      <c r="Q23" s="5" t="s">
        <v>22</v>
      </c>
      <c r="R23" s="5" t="s">
        <v>23</v>
      </c>
      <c r="S23" s="11" t="s">
        <v>23</v>
      </c>
    </row>
    <row r="24" spans="1:19" thickTop="1" thickBot="1" x14ac:dyDescent="0.35">
      <c r="A24" s="3" t="s">
        <v>131</v>
      </c>
      <c r="B24" s="4" t="s">
        <v>132</v>
      </c>
      <c r="C24" s="4">
        <v>1343</v>
      </c>
      <c r="D24" s="5" t="s">
        <v>41</v>
      </c>
      <c r="E24" s="5" t="s">
        <v>133</v>
      </c>
      <c r="F24" s="6">
        <f>538-64</f>
        <v>474</v>
      </c>
      <c r="G24" s="7">
        <v>564</v>
      </c>
      <c r="H24" s="8" t="s">
        <v>134</v>
      </c>
      <c r="I24" s="2">
        <v>534</v>
      </c>
      <c r="J24" s="9" t="s">
        <v>41</v>
      </c>
      <c r="K24" s="4" t="s">
        <v>135</v>
      </c>
      <c r="L24" s="4" t="s">
        <v>136</v>
      </c>
      <c r="M24" s="4" t="s">
        <v>136</v>
      </c>
      <c r="N24" s="10">
        <v>43345</v>
      </c>
      <c r="O24" s="5" t="s">
        <v>22</v>
      </c>
      <c r="P24" s="10" t="s">
        <v>22</v>
      </c>
      <c r="Q24" s="5" t="s">
        <v>22</v>
      </c>
      <c r="R24" s="5" t="s">
        <v>22</v>
      </c>
      <c r="S24" s="11" t="s">
        <v>23</v>
      </c>
    </row>
    <row r="25" spans="1:19" thickTop="1" thickBot="1" x14ac:dyDescent="0.35">
      <c r="A25" s="3" t="s">
        <v>137</v>
      </c>
      <c r="B25" s="4" t="s">
        <v>138</v>
      </c>
      <c r="C25" s="4">
        <v>2021</v>
      </c>
      <c r="D25" s="5" t="s">
        <v>111</v>
      </c>
      <c r="E25" s="5" t="s">
        <v>34</v>
      </c>
      <c r="F25" s="6">
        <f>483-2</f>
        <v>481</v>
      </c>
      <c r="G25" s="7">
        <v>518</v>
      </c>
      <c r="H25" s="8" t="s">
        <v>94</v>
      </c>
      <c r="I25" s="2" t="str">
        <f>""</f>
        <v/>
      </c>
      <c r="J25" s="9" t="s">
        <v>112</v>
      </c>
      <c r="K25" s="4" t="s">
        <v>139</v>
      </c>
      <c r="L25" s="2" t="str">
        <f>""</f>
        <v/>
      </c>
      <c r="M25" s="2" t="str">
        <f>""</f>
        <v/>
      </c>
      <c r="N25" s="2" t="str">
        <f>""</f>
        <v/>
      </c>
      <c r="O25" s="5" t="s">
        <v>22</v>
      </c>
      <c r="P25" s="10" t="s">
        <v>22</v>
      </c>
      <c r="Q25" s="5" t="s">
        <v>22</v>
      </c>
      <c r="R25" s="5" t="s">
        <v>22</v>
      </c>
      <c r="S25" s="11" t="s">
        <v>23</v>
      </c>
    </row>
    <row r="26" spans="1:19" thickTop="1" thickBot="1" x14ac:dyDescent="0.35">
      <c r="A26" s="3" t="s">
        <v>140</v>
      </c>
      <c r="B26" s="4" t="s">
        <v>141</v>
      </c>
      <c r="C26" s="4">
        <v>2013</v>
      </c>
      <c r="D26" s="5" t="s">
        <v>88</v>
      </c>
      <c r="E26" s="5" t="s">
        <v>42</v>
      </c>
      <c r="F26" s="6">
        <f>488+8</f>
        <v>496</v>
      </c>
      <c r="G26" s="7">
        <f>494+10</f>
        <v>504</v>
      </c>
      <c r="H26" s="8" t="s">
        <v>142</v>
      </c>
      <c r="I26" s="2" t="str">
        <f>""</f>
        <v/>
      </c>
      <c r="J26" s="9" t="s">
        <v>143</v>
      </c>
      <c r="K26" s="4" t="s">
        <v>144</v>
      </c>
      <c r="L26" s="2" t="str">
        <f>""</f>
        <v/>
      </c>
      <c r="M26" s="2" t="str">
        <f>""</f>
        <v/>
      </c>
      <c r="N26" s="13">
        <v>41518</v>
      </c>
      <c r="O26" s="5" t="s">
        <v>22</v>
      </c>
      <c r="P26" s="10" t="s">
        <v>22</v>
      </c>
      <c r="Q26" s="5" t="s">
        <v>22</v>
      </c>
      <c r="R26" s="5" t="s">
        <v>23</v>
      </c>
      <c r="S26" s="11" t="s">
        <v>23</v>
      </c>
    </row>
    <row r="27" spans="1:19" thickTop="1" thickBot="1" x14ac:dyDescent="0.35">
      <c r="A27" s="3" t="s">
        <v>145</v>
      </c>
      <c r="B27" s="4" t="s">
        <v>146</v>
      </c>
      <c r="C27" s="4">
        <v>1983</v>
      </c>
      <c r="D27" s="5" t="s">
        <v>48</v>
      </c>
      <c r="E27" s="5" t="s">
        <v>49</v>
      </c>
      <c r="F27" s="6">
        <f>410-4</f>
        <v>406</v>
      </c>
      <c r="G27" s="7">
        <v>420</v>
      </c>
      <c r="H27" s="8" t="s">
        <v>147</v>
      </c>
      <c r="I27" s="2">
        <v>14769</v>
      </c>
      <c r="J27" s="9" t="s">
        <v>60</v>
      </c>
      <c r="K27" s="4" t="s">
        <v>148</v>
      </c>
      <c r="L27" s="2" t="str">
        <f>""</f>
        <v/>
      </c>
      <c r="M27" s="4" t="s">
        <v>149</v>
      </c>
      <c r="N27" s="10">
        <v>43906</v>
      </c>
      <c r="O27" s="5" t="s">
        <v>22</v>
      </c>
      <c r="P27" s="10" t="s">
        <v>22</v>
      </c>
      <c r="Q27" s="5" t="s">
        <v>22</v>
      </c>
      <c r="R27" s="5" t="s">
        <v>23</v>
      </c>
      <c r="S27" s="11" t="s">
        <v>23</v>
      </c>
    </row>
    <row r="28" spans="1:19" thickTop="1" thickBot="1" x14ac:dyDescent="0.35">
      <c r="A28" s="3" t="s">
        <v>150</v>
      </c>
      <c r="B28" s="4" t="s">
        <v>151</v>
      </c>
      <c r="C28" s="4">
        <v>1834</v>
      </c>
      <c r="D28" s="5" t="s">
        <v>16</v>
      </c>
      <c r="E28" s="5" t="s">
        <v>42</v>
      </c>
      <c r="F28" s="6">
        <f>77-38</f>
        <v>39</v>
      </c>
      <c r="G28" s="7">
        <v>148</v>
      </c>
      <c r="H28" s="8" t="s">
        <v>18</v>
      </c>
      <c r="I28" s="2">
        <v>6248</v>
      </c>
      <c r="J28" s="9" t="s">
        <v>28</v>
      </c>
      <c r="K28" s="4" t="s">
        <v>152</v>
      </c>
      <c r="L28" s="4" t="s">
        <v>153</v>
      </c>
      <c r="M28" s="2" t="str">
        <f>""</f>
        <v/>
      </c>
      <c r="N28" s="10">
        <v>44691</v>
      </c>
      <c r="O28" s="5" t="s">
        <v>22</v>
      </c>
      <c r="P28" s="10" t="s">
        <v>22</v>
      </c>
      <c r="Q28" s="5" t="s">
        <v>22</v>
      </c>
      <c r="R28" s="5" t="s">
        <v>23</v>
      </c>
      <c r="S28" s="11" t="s">
        <v>23</v>
      </c>
    </row>
    <row r="29" spans="1:19" thickTop="1" thickBot="1" x14ac:dyDescent="0.35">
      <c r="A29" s="3" t="s">
        <v>154</v>
      </c>
      <c r="B29" s="4" t="s">
        <v>155</v>
      </c>
      <c r="C29" s="4">
        <v>2021</v>
      </c>
      <c r="D29" s="5" t="s">
        <v>48</v>
      </c>
      <c r="E29" s="5" t="s">
        <v>42</v>
      </c>
      <c r="F29" s="6">
        <f>230-4</f>
        <v>226</v>
      </c>
      <c r="G29" s="7">
        <v>244</v>
      </c>
      <c r="H29" s="8" t="s">
        <v>156</v>
      </c>
      <c r="I29" s="2" t="str">
        <f>""</f>
        <v/>
      </c>
      <c r="J29" s="2" t="str">
        <f>""</f>
        <v/>
      </c>
      <c r="K29" s="4" t="s">
        <v>157</v>
      </c>
      <c r="L29" s="2" t="str">
        <f>""</f>
        <v/>
      </c>
      <c r="M29" s="2" t="str">
        <f>""</f>
        <v/>
      </c>
      <c r="N29" s="13">
        <v>44440</v>
      </c>
      <c r="O29" s="5" t="s">
        <v>22</v>
      </c>
      <c r="P29" s="10" t="s">
        <v>22</v>
      </c>
      <c r="Q29" s="5" t="s">
        <v>22</v>
      </c>
      <c r="R29" s="5" t="s">
        <v>23</v>
      </c>
      <c r="S29" s="11" t="s">
        <v>23</v>
      </c>
    </row>
    <row r="30" spans="1:19" thickTop="1" thickBot="1" x14ac:dyDescent="0.35">
      <c r="A30" s="3" t="s">
        <v>158</v>
      </c>
      <c r="B30" s="4" t="s">
        <v>159</v>
      </c>
      <c r="C30" s="4">
        <v>2006</v>
      </c>
      <c r="D30" s="5" t="s">
        <v>111</v>
      </c>
      <c r="E30" s="5" t="s">
        <v>42</v>
      </c>
      <c r="F30" s="6">
        <v>309</v>
      </c>
      <c r="G30" s="7">
        <v>324</v>
      </c>
      <c r="H30" s="8" t="s">
        <v>160</v>
      </c>
      <c r="I30" s="2" t="str">
        <f>""</f>
        <v/>
      </c>
      <c r="J30" s="2" t="str">
        <f>""</f>
        <v/>
      </c>
      <c r="K30" s="4" t="s">
        <v>161</v>
      </c>
      <c r="L30" s="2" t="str">
        <f>""</f>
        <v/>
      </c>
      <c r="M30" s="2" t="str">
        <f>""</f>
        <v/>
      </c>
      <c r="N30" s="13">
        <v>44713</v>
      </c>
      <c r="O30" s="5" t="s">
        <v>22</v>
      </c>
      <c r="P30" s="10" t="s">
        <v>22</v>
      </c>
      <c r="Q30" s="5" t="s">
        <v>22</v>
      </c>
      <c r="R30" s="5" t="s">
        <v>22</v>
      </c>
      <c r="S30" s="11" t="s">
        <v>23</v>
      </c>
    </row>
    <row r="31" spans="1:19" thickTop="1" thickBot="1" x14ac:dyDescent="0.35">
      <c r="A31" s="3" t="s">
        <v>162</v>
      </c>
      <c r="B31" s="4" t="s">
        <v>163</v>
      </c>
      <c r="C31" s="4">
        <v>1873</v>
      </c>
      <c r="D31" s="5" t="s">
        <v>164</v>
      </c>
      <c r="E31" s="5" t="s">
        <v>165</v>
      </c>
      <c r="F31" s="6">
        <f>442-32</f>
        <v>410</v>
      </c>
      <c r="G31" s="7">
        <v>452</v>
      </c>
      <c r="H31" s="8" t="s">
        <v>60</v>
      </c>
      <c r="I31" s="2">
        <v>16113</v>
      </c>
      <c r="J31" s="9" t="s">
        <v>72</v>
      </c>
      <c r="K31" s="4" t="s">
        <v>166</v>
      </c>
      <c r="L31" s="4" t="s">
        <v>167</v>
      </c>
      <c r="M31" s="4" t="s">
        <v>167</v>
      </c>
      <c r="N31" s="13">
        <v>44348</v>
      </c>
      <c r="O31" s="5" t="s">
        <v>22</v>
      </c>
      <c r="P31" s="10" t="s">
        <v>22</v>
      </c>
      <c r="Q31" s="5" t="s">
        <v>22</v>
      </c>
      <c r="R31" s="5" t="s">
        <v>23</v>
      </c>
      <c r="S31" s="11" t="s">
        <v>23</v>
      </c>
    </row>
    <row r="32" spans="1:19" thickTop="1" thickBot="1" x14ac:dyDescent="0.35">
      <c r="A32" s="3" t="s">
        <v>162</v>
      </c>
      <c r="B32" s="4" t="s">
        <v>168</v>
      </c>
      <c r="C32" s="4">
        <v>1697</v>
      </c>
      <c r="D32" s="5" t="s">
        <v>164</v>
      </c>
      <c r="E32" s="5" t="s">
        <v>42</v>
      </c>
      <c r="F32" s="6">
        <f>308-70</f>
        <v>238</v>
      </c>
      <c r="G32" s="7">
        <v>324</v>
      </c>
      <c r="H32" s="8" t="s">
        <v>60</v>
      </c>
      <c r="I32" s="2">
        <v>21026</v>
      </c>
      <c r="J32" s="9" t="s">
        <v>72</v>
      </c>
      <c r="K32" s="4" t="s">
        <v>169</v>
      </c>
      <c r="L32" s="4" t="s">
        <v>170</v>
      </c>
      <c r="M32" s="2" t="str">
        <f>""</f>
        <v/>
      </c>
      <c r="N32" s="13">
        <v>44409</v>
      </c>
      <c r="O32" s="5" t="s">
        <v>22</v>
      </c>
      <c r="P32" s="10" t="s">
        <v>22</v>
      </c>
      <c r="Q32" s="5" t="s">
        <v>23</v>
      </c>
      <c r="R32" s="2" t="str">
        <f>""</f>
        <v/>
      </c>
      <c r="S32" s="11" t="s">
        <v>23</v>
      </c>
    </row>
    <row r="33" spans="1:19" thickTop="1" thickBot="1" x14ac:dyDescent="0.35">
      <c r="A33" s="3" t="s">
        <v>162</v>
      </c>
      <c r="B33" s="4" t="s">
        <v>171</v>
      </c>
      <c r="C33" s="4">
        <v>1863</v>
      </c>
      <c r="D33" s="5" t="s">
        <v>164</v>
      </c>
      <c r="E33" s="5" t="s">
        <v>34</v>
      </c>
      <c r="F33" s="6">
        <f>385-26</f>
        <v>359</v>
      </c>
      <c r="G33" s="7">
        <v>420</v>
      </c>
      <c r="H33" s="8" t="s">
        <v>18</v>
      </c>
      <c r="I33" s="2">
        <v>840</v>
      </c>
      <c r="J33" s="9" t="s">
        <v>28</v>
      </c>
      <c r="K33" s="4" t="s">
        <v>172</v>
      </c>
      <c r="L33" s="4" t="s">
        <v>173</v>
      </c>
      <c r="M33" s="2" t="str">
        <f>""</f>
        <v/>
      </c>
      <c r="N33" s="13">
        <v>44523</v>
      </c>
      <c r="O33" s="5" t="s">
        <v>22</v>
      </c>
      <c r="P33" s="10" t="s">
        <v>22</v>
      </c>
      <c r="Q33" s="5" t="s">
        <v>23</v>
      </c>
      <c r="R33" s="2" t="str">
        <f>""</f>
        <v/>
      </c>
      <c r="S33" s="11" t="s">
        <v>23</v>
      </c>
    </row>
    <row r="34" spans="1:19" thickTop="1" thickBot="1" x14ac:dyDescent="0.35">
      <c r="A34" s="3" t="s">
        <v>174</v>
      </c>
      <c r="B34" s="4" t="s">
        <v>175</v>
      </c>
      <c r="C34" s="4">
        <v>1866</v>
      </c>
      <c r="D34" s="5" t="s">
        <v>16</v>
      </c>
      <c r="E34" s="5" t="s">
        <v>71</v>
      </c>
      <c r="F34" s="6">
        <f>785-48</f>
        <v>737</v>
      </c>
      <c r="G34" s="7">
        <f>902/2</f>
        <v>451</v>
      </c>
      <c r="H34" s="8" t="s">
        <v>18</v>
      </c>
      <c r="I34" s="2">
        <v>2661</v>
      </c>
      <c r="J34" s="9" t="s">
        <v>28</v>
      </c>
      <c r="K34" s="4" t="s">
        <v>176</v>
      </c>
      <c r="L34" s="4" t="s">
        <v>177</v>
      </c>
      <c r="M34" s="4" t="s">
        <v>178</v>
      </c>
      <c r="N34" s="10">
        <v>44649</v>
      </c>
      <c r="O34" s="5" t="s">
        <v>22</v>
      </c>
      <c r="P34" s="10" t="s">
        <v>22</v>
      </c>
      <c r="Q34" s="5" t="s">
        <v>22</v>
      </c>
      <c r="R34" s="5" t="s">
        <v>22</v>
      </c>
      <c r="S34" s="11" t="s">
        <v>23</v>
      </c>
    </row>
    <row r="35" spans="1:19" thickTop="1" thickBot="1" x14ac:dyDescent="0.35">
      <c r="A35" s="3" t="s">
        <v>179</v>
      </c>
      <c r="B35" s="4" t="s">
        <v>83</v>
      </c>
      <c r="C35" s="4">
        <v>-358</v>
      </c>
      <c r="D35" s="5" t="s">
        <v>33</v>
      </c>
      <c r="E35" s="5" t="s">
        <v>78</v>
      </c>
      <c r="F35" s="6">
        <f>378-350</f>
        <v>28</v>
      </c>
      <c r="G35" s="7">
        <f>502/2</f>
        <v>251</v>
      </c>
      <c r="H35" s="8" t="s">
        <v>18</v>
      </c>
      <c r="I35" s="2">
        <v>618</v>
      </c>
      <c r="J35" s="9" t="s">
        <v>35</v>
      </c>
      <c r="K35" s="4" t="s">
        <v>180</v>
      </c>
      <c r="L35" s="4" t="s">
        <v>85</v>
      </c>
      <c r="M35" s="4" t="s">
        <v>181</v>
      </c>
      <c r="N35" s="10">
        <v>45047</v>
      </c>
      <c r="O35" s="5" t="s">
        <v>22</v>
      </c>
      <c r="P35" s="10" t="s">
        <v>22</v>
      </c>
      <c r="Q35" s="5" t="s">
        <v>22</v>
      </c>
      <c r="R35" s="5" t="s">
        <v>22</v>
      </c>
      <c r="S35" s="11" t="s">
        <v>23</v>
      </c>
    </row>
    <row r="36" spans="1:19" thickTop="1" thickBot="1" x14ac:dyDescent="0.35">
      <c r="A36" s="3" t="s">
        <v>182</v>
      </c>
      <c r="B36" s="4" t="s">
        <v>183</v>
      </c>
      <c r="C36" s="4">
        <v>1781</v>
      </c>
      <c r="D36" s="5" t="s">
        <v>33</v>
      </c>
      <c r="E36" s="5" t="s">
        <v>34</v>
      </c>
      <c r="F36" s="6">
        <f>688-56</f>
        <v>632</v>
      </c>
      <c r="G36" s="7">
        <v>772</v>
      </c>
      <c r="H36" s="8" t="s">
        <v>18</v>
      </c>
      <c r="I36" s="2">
        <v>1304</v>
      </c>
      <c r="J36" s="9" t="s">
        <v>35</v>
      </c>
      <c r="K36" s="4" t="s">
        <v>184</v>
      </c>
      <c r="L36" s="4" t="s">
        <v>185</v>
      </c>
      <c r="M36" s="4" t="s">
        <v>185</v>
      </c>
      <c r="N36" s="2" t="str">
        <f>""</f>
        <v/>
      </c>
      <c r="O36" s="5" t="s">
        <v>22</v>
      </c>
      <c r="P36" s="10" t="s">
        <v>22</v>
      </c>
      <c r="Q36" s="5" t="s">
        <v>23</v>
      </c>
      <c r="R36" s="2" t="str">
        <f>""</f>
        <v/>
      </c>
      <c r="S36" s="11" t="s">
        <v>23</v>
      </c>
    </row>
    <row r="37" spans="1:19" thickTop="1" thickBot="1" x14ac:dyDescent="0.35">
      <c r="A37" s="3" t="s">
        <v>186</v>
      </c>
      <c r="B37" s="4" t="s">
        <v>83</v>
      </c>
      <c r="C37" s="4">
        <v>-390</v>
      </c>
      <c r="D37" s="5" t="s">
        <v>33</v>
      </c>
      <c r="E37" s="5" t="s">
        <v>78</v>
      </c>
      <c r="F37" s="6">
        <f>212-184</f>
        <v>28</v>
      </c>
      <c r="G37" s="7">
        <f>276/2</f>
        <v>138</v>
      </c>
      <c r="H37" s="8" t="s">
        <v>18</v>
      </c>
      <c r="I37" s="2">
        <v>848</v>
      </c>
      <c r="J37" s="9" t="s">
        <v>35</v>
      </c>
      <c r="K37" s="4" t="s">
        <v>84</v>
      </c>
      <c r="L37" s="4" t="s">
        <v>85</v>
      </c>
      <c r="M37" s="4" t="s">
        <v>85</v>
      </c>
      <c r="N37" s="13">
        <v>44044</v>
      </c>
      <c r="O37" s="5" t="s">
        <v>22</v>
      </c>
      <c r="P37" s="10" t="s">
        <v>22</v>
      </c>
      <c r="Q37" s="5" t="s">
        <v>22</v>
      </c>
      <c r="R37" s="5" t="s">
        <v>22</v>
      </c>
      <c r="S37" s="11" t="s">
        <v>22</v>
      </c>
    </row>
    <row r="38" spans="1:19" thickTop="1" thickBot="1" x14ac:dyDescent="0.35">
      <c r="A38" s="3" t="s">
        <v>187</v>
      </c>
      <c r="B38" s="4" t="s">
        <v>188</v>
      </c>
      <c r="C38" s="4">
        <v>1906</v>
      </c>
      <c r="D38" s="5" t="s">
        <v>16</v>
      </c>
      <c r="E38" s="5" t="s">
        <v>49</v>
      </c>
      <c r="F38" s="6">
        <f>338-3+1</f>
        <v>336</v>
      </c>
      <c r="G38" s="7">
        <v>372</v>
      </c>
      <c r="H38" s="8" t="s">
        <v>189</v>
      </c>
      <c r="I38" s="2">
        <v>493</v>
      </c>
      <c r="J38" s="9" t="s">
        <v>190</v>
      </c>
      <c r="K38" s="4" t="s">
        <v>191</v>
      </c>
      <c r="L38" s="2" t="str">
        <f>""</f>
        <v/>
      </c>
      <c r="M38" s="4" t="s">
        <v>192</v>
      </c>
      <c r="N38" s="13">
        <v>41487</v>
      </c>
      <c r="O38" s="5" t="s">
        <v>22</v>
      </c>
      <c r="P38" s="10" t="s">
        <v>22</v>
      </c>
      <c r="Q38" s="5" t="s">
        <v>22</v>
      </c>
      <c r="R38" s="5" t="s">
        <v>22</v>
      </c>
      <c r="S38" s="11" t="s">
        <v>23</v>
      </c>
    </row>
    <row r="39" spans="1:19" thickTop="1" thickBot="1" x14ac:dyDescent="0.35">
      <c r="A39" s="3" t="s">
        <v>193</v>
      </c>
      <c r="B39" s="4" t="s">
        <v>194</v>
      </c>
      <c r="C39" s="4">
        <v>1897</v>
      </c>
      <c r="D39" s="5" t="s">
        <v>26</v>
      </c>
      <c r="E39" s="5" t="s">
        <v>42</v>
      </c>
      <c r="F39" s="6">
        <f>418-32</f>
        <v>386</v>
      </c>
      <c r="G39" s="7">
        <v>470</v>
      </c>
      <c r="H39" s="8" t="s">
        <v>18</v>
      </c>
      <c r="I39" s="2">
        <v>3246</v>
      </c>
      <c r="J39" s="9" t="s">
        <v>28</v>
      </c>
      <c r="K39" s="4" t="s">
        <v>195</v>
      </c>
      <c r="L39" s="4" t="s">
        <v>196</v>
      </c>
      <c r="M39" s="2" t="str">
        <f>""</f>
        <v/>
      </c>
      <c r="N39" s="10">
        <v>44117</v>
      </c>
      <c r="O39" s="5" t="s">
        <v>22</v>
      </c>
      <c r="P39" s="10" t="s">
        <v>22</v>
      </c>
      <c r="Q39" s="5" t="s">
        <v>22</v>
      </c>
      <c r="R39" s="5" t="s">
        <v>22</v>
      </c>
      <c r="S39" s="11" t="s">
        <v>23</v>
      </c>
    </row>
    <row r="40" spans="1:19" thickTop="1" thickBot="1" x14ac:dyDescent="0.35">
      <c r="A40" s="3" t="s">
        <v>197</v>
      </c>
      <c r="B40" s="4" t="s">
        <v>58</v>
      </c>
      <c r="C40" s="4">
        <v>2004</v>
      </c>
      <c r="D40" s="5" t="s">
        <v>48</v>
      </c>
      <c r="E40" s="5" t="s">
        <v>49</v>
      </c>
      <c r="F40" s="6">
        <f>610-5+1</f>
        <v>606</v>
      </c>
      <c r="G40" s="7">
        <v>628</v>
      </c>
      <c r="H40" s="8" t="s">
        <v>59</v>
      </c>
      <c r="I40" s="2">
        <v>33451</v>
      </c>
      <c r="J40" s="9" t="s">
        <v>60</v>
      </c>
      <c r="K40" s="4" t="s">
        <v>198</v>
      </c>
      <c r="L40" s="2" t="str">
        <f>""</f>
        <v/>
      </c>
      <c r="M40" s="4" t="s">
        <v>62</v>
      </c>
      <c r="N40" s="10">
        <v>42099</v>
      </c>
      <c r="O40" s="5" t="s">
        <v>22</v>
      </c>
      <c r="P40" s="10" t="s">
        <v>22</v>
      </c>
      <c r="Q40" s="5" t="s">
        <v>22</v>
      </c>
      <c r="R40" s="5" t="s">
        <v>22</v>
      </c>
      <c r="S40" s="11" t="s">
        <v>23</v>
      </c>
    </row>
    <row r="41" spans="1:19" thickTop="1" thickBot="1" x14ac:dyDescent="0.35">
      <c r="A41" s="3" t="s">
        <v>199</v>
      </c>
      <c r="B41" s="4" t="s">
        <v>200</v>
      </c>
      <c r="C41" s="4">
        <v>1994</v>
      </c>
      <c r="D41" s="5" t="s">
        <v>111</v>
      </c>
      <c r="E41" s="5" t="s">
        <v>34</v>
      </c>
      <c r="F41" s="6">
        <f>737-4</f>
        <v>733</v>
      </c>
      <c r="G41" s="7">
        <v>786</v>
      </c>
      <c r="H41" s="8" t="s">
        <v>94</v>
      </c>
      <c r="I41" s="2" t="str">
        <f>""</f>
        <v/>
      </c>
      <c r="J41" s="9" t="s">
        <v>95</v>
      </c>
      <c r="K41" s="4" t="s">
        <v>201</v>
      </c>
      <c r="L41" s="2" t="str">
        <f>""</f>
        <v/>
      </c>
      <c r="M41" s="2" t="str">
        <f>""</f>
        <v/>
      </c>
      <c r="N41" s="2" t="str">
        <f>""</f>
        <v/>
      </c>
      <c r="O41" s="5" t="s">
        <v>22</v>
      </c>
      <c r="P41" s="10" t="s">
        <v>22</v>
      </c>
      <c r="Q41" s="5" t="s">
        <v>23</v>
      </c>
      <c r="R41" s="2" t="str">
        <f>""</f>
        <v/>
      </c>
      <c r="S41" s="11" t="s">
        <v>23</v>
      </c>
    </row>
    <row r="42" spans="1:19" thickTop="1" thickBot="1" x14ac:dyDescent="0.35">
      <c r="A42" s="3" t="s">
        <v>202</v>
      </c>
      <c r="B42" s="4" t="s">
        <v>203</v>
      </c>
      <c r="C42" s="4">
        <v>-330</v>
      </c>
      <c r="D42" s="5" t="s">
        <v>33</v>
      </c>
      <c r="E42" s="5" t="s">
        <v>78</v>
      </c>
      <c r="F42" s="6">
        <f>299-76</f>
        <v>223</v>
      </c>
      <c r="G42" s="7">
        <v>342</v>
      </c>
      <c r="H42" s="8" t="s">
        <v>18</v>
      </c>
      <c r="I42" s="2">
        <v>711</v>
      </c>
      <c r="J42" s="9" t="s">
        <v>35</v>
      </c>
      <c r="K42" s="4" t="s">
        <v>204</v>
      </c>
      <c r="L42" s="4" t="s">
        <v>205</v>
      </c>
      <c r="M42" s="4" t="s">
        <v>205</v>
      </c>
      <c r="N42" s="13">
        <v>44470</v>
      </c>
      <c r="O42" s="5" t="s">
        <v>22</v>
      </c>
      <c r="P42" s="10" t="s">
        <v>22</v>
      </c>
      <c r="Q42" s="5" t="s">
        <v>23</v>
      </c>
      <c r="R42" s="2" t="str">
        <f>""</f>
        <v/>
      </c>
      <c r="S42" s="11" t="s">
        <v>23</v>
      </c>
    </row>
    <row r="43" spans="1:19" thickTop="1" thickBot="1" x14ac:dyDescent="0.35">
      <c r="A43" s="3" t="s">
        <v>206</v>
      </c>
      <c r="B43" s="4" t="s">
        <v>207</v>
      </c>
      <c r="C43" s="4">
        <v>1353</v>
      </c>
      <c r="D43" s="5" t="s">
        <v>164</v>
      </c>
      <c r="E43" s="5" t="s">
        <v>133</v>
      </c>
      <c r="F43" s="6">
        <f>862-28</f>
        <v>834</v>
      </c>
      <c r="G43" s="7">
        <v>900</v>
      </c>
      <c r="H43" s="8" t="s">
        <v>60</v>
      </c>
      <c r="I43" s="2">
        <v>702</v>
      </c>
      <c r="J43" s="9" t="s">
        <v>72</v>
      </c>
      <c r="K43" s="4" t="s">
        <v>208</v>
      </c>
      <c r="L43" s="4" t="s">
        <v>209</v>
      </c>
      <c r="M43" s="4" t="s">
        <v>210</v>
      </c>
      <c r="N43" s="10">
        <v>44044</v>
      </c>
      <c r="O43" s="5" t="s">
        <v>22</v>
      </c>
      <c r="P43" s="10" t="s">
        <v>22</v>
      </c>
      <c r="Q43" s="5" t="s">
        <v>22</v>
      </c>
      <c r="R43" s="5" t="s">
        <v>22</v>
      </c>
      <c r="S43" s="11" t="s">
        <v>22</v>
      </c>
    </row>
    <row r="44" spans="1:19" thickTop="1" thickBot="1" x14ac:dyDescent="0.35">
      <c r="A44" s="3" t="s">
        <v>211</v>
      </c>
      <c r="B44" s="4" t="s">
        <v>58</v>
      </c>
      <c r="C44" s="4">
        <v>2001</v>
      </c>
      <c r="D44" s="5" t="s">
        <v>48</v>
      </c>
      <c r="E44" s="5" t="s">
        <v>49</v>
      </c>
      <c r="F44" s="6">
        <v>696</v>
      </c>
      <c r="G44" s="7">
        <v>708</v>
      </c>
      <c r="H44" s="8" t="s">
        <v>59</v>
      </c>
      <c r="I44" s="2">
        <v>37238</v>
      </c>
      <c r="J44" s="9" t="s">
        <v>60</v>
      </c>
      <c r="K44" s="4" t="s">
        <v>212</v>
      </c>
      <c r="L44" s="2" t="str">
        <f>""</f>
        <v/>
      </c>
      <c r="M44" s="4" t="s">
        <v>62</v>
      </c>
      <c r="N44" s="10">
        <v>42414</v>
      </c>
      <c r="O44" s="5" t="s">
        <v>22</v>
      </c>
      <c r="P44" s="10" t="s">
        <v>22</v>
      </c>
      <c r="Q44" s="5" t="s">
        <v>22</v>
      </c>
      <c r="R44" s="5" t="s">
        <v>22</v>
      </c>
      <c r="S44" s="11" t="s">
        <v>23</v>
      </c>
    </row>
    <row r="45" spans="1:19" thickTop="1" thickBot="1" x14ac:dyDescent="0.35">
      <c r="A45" s="3" t="s">
        <v>213</v>
      </c>
      <c r="B45" s="4" t="s">
        <v>214</v>
      </c>
      <c r="C45" s="4">
        <v>1895</v>
      </c>
      <c r="D45" s="5" t="s">
        <v>41</v>
      </c>
      <c r="E45" s="5" t="s">
        <v>42</v>
      </c>
      <c r="F45" s="6">
        <f>189-184</f>
        <v>5</v>
      </c>
      <c r="G45" s="7">
        <v>37</v>
      </c>
      <c r="H45" s="8" t="s">
        <v>18</v>
      </c>
      <c r="I45" s="2">
        <v>1459</v>
      </c>
      <c r="J45" s="9" t="s">
        <v>35</v>
      </c>
      <c r="K45" s="4" t="s">
        <v>215</v>
      </c>
      <c r="L45" s="4" t="s">
        <v>216</v>
      </c>
      <c r="M45" s="2" t="str">
        <f>""</f>
        <v/>
      </c>
      <c r="N45" s="2" t="str">
        <f>""</f>
        <v/>
      </c>
      <c r="O45" s="5" t="s">
        <v>23</v>
      </c>
      <c r="P45" s="10" t="s">
        <v>22</v>
      </c>
      <c r="Q45" s="5" t="s">
        <v>23</v>
      </c>
      <c r="R45" s="2" t="str">
        <f>""</f>
        <v/>
      </c>
      <c r="S45" s="11" t="s">
        <v>23</v>
      </c>
    </row>
    <row r="46" spans="1:19" thickTop="1" thickBot="1" x14ac:dyDescent="0.35">
      <c r="A46" s="3" t="s">
        <v>217</v>
      </c>
      <c r="B46" s="4" t="s">
        <v>218</v>
      </c>
      <c r="C46" s="4">
        <v>1982</v>
      </c>
      <c r="D46" s="5" t="s">
        <v>65</v>
      </c>
      <c r="E46" s="5" t="s">
        <v>42</v>
      </c>
      <c r="F46" s="6">
        <f>1201</f>
        <v>1201</v>
      </c>
      <c r="G46" s="7">
        <f>1201+42+2+37</f>
        <v>1282</v>
      </c>
      <c r="H46" s="8" t="s">
        <v>219</v>
      </c>
      <c r="I46" s="2" t="str">
        <f>""</f>
        <v/>
      </c>
      <c r="J46" s="9" t="s">
        <v>220</v>
      </c>
      <c r="K46" s="4" t="s">
        <v>221</v>
      </c>
      <c r="L46" s="2" t="str">
        <f>""</f>
        <v/>
      </c>
      <c r="M46" s="2" t="str">
        <f>""</f>
        <v/>
      </c>
      <c r="N46" s="10">
        <v>42767</v>
      </c>
      <c r="O46" s="5" t="s">
        <v>22</v>
      </c>
      <c r="P46" s="10" t="s">
        <v>22</v>
      </c>
      <c r="Q46" s="5" t="s">
        <v>23</v>
      </c>
      <c r="R46" s="2" t="str">
        <f>""</f>
        <v/>
      </c>
      <c r="S46" s="11" t="s">
        <v>23</v>
      </c>
    </row>
    <row r="47" spans="1:19" thickTop="1" thickBot="1" x14ac:dyDescent="0.35">
      <c r="A47" s="3" t="s">
        <v>222</v>
      </c>
      <c r="B47" s="4" t="s">
        <v>223</v>
      </c>
      <c r="C47" s="4">
        <v>2010</v>
      </c>
      <c r="D47" s="5" t="s">
        <v>65</v>
      </c>
      <c r="E47" s="5" t="s">
        <v>42</v>
      </c>
      <c r="F47" s="6">
        <f>1751</f>
        <v>1751</v>
      </c>
      <c r="G47" s="7">
        <v>1760</v>
      </c>
      <c r="H47" s="8" t="s">
        <v>224</v>
      </c>
      <c r="I47" s="2" t="str">
        <f>""</f>
        <v/>
      </c>
      <c r="J47" s="2" t="str">
        <f>""</f>
        <v/>
      </c>
      <c r="K47" s="4" t="s">
        <v>225</v>
      </c>
      <c r="L47" s="2" t="str">
        <f>""</f>
        <v/>
      </c>
      <c r="M47" s="2" t="str">
        <f>""</f>
        <v/>
      </c>
      <c r="N47" s="2" t="str">
        <f>""</f>
        <v/>
      </c>
      <c r="O47" s="5" t="s">
        <v>22</v>
      </c>
      <c r="P47" s="10" t="s">
        <v>22</v>
      </c>
      <c r="Q47" s="5" t="s">
        <v>22</v>
      </c>
      <c r="R47" s="5" t="s">
        <v>23</v>
      </c>
      <c r="S47" s="11" t="s">
        <v>23</v>
      </c>
    </row>
    <row r="48" spans="1:19" thickTop="1" thickBot="1" x14ac:dyDescent="0.35">
      <c r="A48" s="3" t="s">
        <v>226</v>
      </c>
      <c r="B48" s="4" t="s">
        <v>128</v>
      </c>
      <c r="C48" s="4">
        <v>1764</v>
      </c>
      <c r="D48" s="5" t="s">
        <v>33</v>
      </c>
      <c r="E48" s="5" t="s">
        <v>42</v>
      </c>
      <c r="F48" s="6">
        <f>508-32</f>
        <v>476</v>
      </c>
      <c r="G48" s="7">
        <v>564</v>
      </c>
      <c r="H48" s="8" t="s">
        <v>18</v>
      </c>
      <c r="I48" s="2">
        <v>2630</v>
      </c>
      <c r="J48" s="9" t="s">
        <v>28</v>
      </c>
      <c r="K48" s="4" t="s">
        <v>227</v>
      </c>
      <c r="L48" s="4" t="s">
        <v>228</v>
      </c>
      <c r="M48" s="2" t="str">
        <f>""</f>
        <v/>
      </c>
      <c r="N48" s="10">
        <v>44361</v>
      </c>
      <c r="O48" s="5" t="s">
        <v>22</v>
      </c>
      <c r="P48" s="10" t="s">
        <v>22</v>
      </c>
      <c r="Q48" s="5" t="s">
        <v>23</v>
      </c>
      <c r="R48" s="2" t="str">
        <f>""</f>
        <v/>
      </c>
      <c r="S48" s="11" t="s">
        <v>23</v>
      </c>
    </row>
    <row r="49" spans="1:19" thickTop="1" thickBot="1" x14ac:dyDescent="0.35">
      <c r="A49" s="3" t="s">
        <v>226</v>
      </c>
      <c r="B49" s="4" t="s">
        <v>229</v>
      </c>
      <c r="C49" s="4">
        <v>2001</v>
      </c>
      <c r="D49" s="5" t="s">
        <v>33</v>
      </c>
      <c r="E49" s="5" t="s">
        <v>42</v>
      </c>
      <c r="F49" s="6">
        <f>1411</f>
        <v>1411</v>
      </c>
      <c r="G49" s="7">
        <f>1430+12</f>
        <v>1442</v>
      </c>
      <c r="H49" s="8" t="s">
        <v>230</v>
      </c>
      <c r="I49" s="2" t="str">
        <f>""</f>
        <v/>
      </c>
      <c r="J49" s="2" t="str">
        <f>""</f>
        <v/>
      </c>
      <c r="K49" s="4" t="s">
        <v>231</v>
      </c>
      <c r="L49" s="2" t="str">
        <f>""</f>
        <v/>
      </c>
      <c r="M49" s="2" t="str">
        <f>""</f>
        <v/>
      </c>
      <c r="N49" s="10">
        <v>45017</v>
      </c>
      <c r="O49" s="5" t="s">
        <v>22</v>
      </c>
      <c r="P49" s="10" t="s">
        <v>22</v>
      </c>
      <c r="Q49" s="5" t="s">
        <v>23</v>
      </c>
      <c r="R49" s="2" t="str">
        <f>""</f>
        <v/>
      </c>
      <c r="S49" s="11" t="s">
        <v>23</v>
      </c>
    </row>
    <row r="50" spans="1:19" thickTop="1" thickBot="1" x14ac:dyDescent="0.35">
      <c r="A50" s="3" t="s">
        <v>232</v>
      </c>
      <c r="B50" s="4" t="s">
        <v>233</v>
      </c>
      <c r="C50" s="4">
        <v>1637</v>
      </c>
      <c r="D50" s="5" t="s">
        <v>33</v>
      </c>
      <c r="E50" s="5" t="s">
        <v>42</v>
      </c>
      <c r="F50" s="6">
        <f>113-24</f>
        <v>89</v>
      </c>
      <c r="G50" s="7">
        <v>196</v>
      </c>
      <c r="H50" s="8" t="s">
        <v>18</v>
      </c>
      <c r="I50" s="2">
        <v>1091</v>
      </c>
      <c r="J50" s="9" t="s">
        <v>35</v>
      </c>
      <c r="K50" s="4" t="s">
        <v>234</v>
      </c>
      <c r="L50" s="4" t="s">
        <v>235</v>
      </c>
      <c r="M50" s="2" t="str">
        <f>""</f>
        <v/>
      </c>
      <c r="N50" s="10">
        <v>44013</v>
      </c>
      <c r="O50" s="5" t="s">
        <v>22</v>
      </c>
      <c r="P50" s="10" t="s">
        <v>22</v>
      </c>
      <c r="Q50" s="5" t="s">
        <v>22</v>
      </c>
      <c r="R50" s="5" t="s">
        <v>23</v>
      </c>
      <c r="S50" s="11" t="s">
        <v>22</v>
      </c>
    </row>
    <row r="51" spans="1:19" thickTop="1" thickBot="1" x14ac:dyDescent="0.35">
      <c r="A51" s="3" t="s">
        <v>236</v>
      </c>
      <c r="B51" s="4" t="s">
        <v>237</v>
      </c>
      <c r="C51" s="4">
        <v>1576</v>
      </c>
      <c r="D51" s="5" t="s">
        <v>33</v>
      </c>
      <c r="E51" s="5" t="s">
        <v>42</v>
      </c>
      <c r="F51" s="6">
        <f>157-104</f>
        <v>53</v>
      </c>
      <c r="G51" s="7">
        <v>244</v>
      </c>
      <c r="H51" s="8" t="s">
        <v>18</v>
      </c>
      <c r="I51" s="2">
        <v>394</v>
      </c>
      <c r="J51" s="9" t="s">
        <v>35</v>
      </c>
      <c r="K51" s="4" t="s">
        <v>238</v>
      </c>
      <c r="L51" s="4" t="s">
        <v>239</v>
      </c>
      <c r="M51" s="2" t="str">
        <f>""</f>
        <v/>
      </c>
      <c r="N51" s="10">
        <v>44743</v>
      </c>
      <c r="O51" s="5" t="s">
        <v>22</v>
      </c>
      <c r="P51" s="10" t="s">
        <v>22</v>
      </c>
      <c r="Q51" s="5" t="s">
        <v>23</v>
      </c>
      <c r="R51" s="2" t="str">
        <f>""</f>
        <v/>
      </c>
      <c r="S51" s="11" t="s">
        <v>23</v>
      </c>
    </row>
    <row r="52" spans="1:19" thickTop="1" thickBot="1" x14ac:dyDescent="0.35">
      <c r="A52" s="3" t="s">
        <v>240</v>
      </c>
      <c r="B52" s="4" t="s">
        <v>241</v>
      </c>
      <c r="C52" s="4">
        <v>1848</v>
      </c>
      <c r="D52" s="5" t="s">
        <v>33</v>
      </c>
      <c r="E52" s="5" t="s">
        <v>42</v>
      </c>
      <c r="F52" s="6">
        <f>425-34</f>
        <v>391</v>
      </c>
      <c r="G52" s="7">
        <v>484</v>
      </c>
      <c r="H52" s="8" t="s">
        <v>18</v>
      </c>
      <c r="I52" s="2">
        <v>991</v>
      </c>
      <c r="J52" s="9" t="s">
        <v>35</v>
      </c>
      <c r="K52" s="4" t="s">
        <v>242</v>
      </c>
      <c r="L52" s="4" t="s">
        <v>243</v>
      </c>
      <c r="M52" s="2" t="str">
        <f>""</f>
        <v/>
      </c>
      <c r="N52" s="10">
        <v>44287</v>
      </c>
      <c r="O52" s="5" t="s">
        <v>22</v>
      </c>
      <c r="P52" s="10" t="s">
        <v>22</v>
      </c>
      <c r="Q52" s="5" t="s">
        <v>23</v>
      </c>
      <c r="R52" s="2" t="str">
        <f>""</f>
        <v/>
      </c>
      <c r="S52" s="11" t="s">
        <v>23</v>
      </c>
    </row>
    <row r="53" spans="1:19" thickTop="1" thickBot="1" x14ac:dyDescent="0.35">
      <c r="A53" s="3" t="s">
        <v>244</v>
      </c>
      <c r="B53" s="4" t="s">
        <v>245</v>
      </c>
      <c r="C53" s="4">
        <v>1749</v>
      </c>
      <c r="D53" s="5" t="s">
        <v>33</v>
      </c>
      <c r="E53" s="5" t="s">
        <v>42</v>
      </c>
      <c r="F53" s="6">
        <f>143-22</f>
        <v>121</v>
      </c>
      <c r="G53" s="7">
        <f>292/2</f>
        <v>146</v>
      </c>
      <c r="H53" s="8" t="s">
        <v>18</v>
      </c>
      <c r="I53" s="2">
        <v>243</v>
      </c>
      <c r="J53" s="9" t="s">
        <v>35</v>
      </c>
      <c r="K53" s="4" t="s">
        <v>246</v>
      </c>
      <c r="L53" s="4" t="s">
        <v>247</v>
      </c>
      <c r="M53" s="2" t="str">
        <f>""</f>
        <v/>
      </c>
      <c r="N53" s="10">
        <v>43983</v>
      </c>
      <c r="O53" s="5" t="s">
        <v>22</v>
      </c>
      <c r="P53" s="10" t="s">
        <v>22</v>
      </c>
      <c r="Q53" s="5" t="s">
        <v>23</v>
      </c>
      <c r="R53" s="2" t="str">
        <f>""</f>
        <v/>
      </c>
      <c r="S53" s="11" t="s">
        <v>23</v>
      </c>
    </row>
    <row r="54" spans="1:19" thickTop="1" thickBot="1" x14ac:dyDescent="0.35">
      <c r="A54" s="14" t="s">
        <v>248</v>
      </c>
      <c r="B54" s="4" t="s">
        <v>245</v>
      </c>
      <c r="C54" s="4">
        <v>1755</v>
      </c>
      <c r="D54" s="5" t="s">
        <v>33</v>
      </c>
      <c r="E54" s="5" t="s">
        <v>42</v>
      </c>
      <c r="F54" s="6">
        <f>272-144</f>
        <v>128</v>
      </c>
      <c r="G54" s="7">
        <f>292/2</f>
        <v>146</v>
      </c>
      <c r="H54" s="8" t="s">
        <v>18</v>
      </c>
      <c r="I54" s="2">
        <v>243</v>
      </c>
      <c r="J54" s="9" t="s">
        <v>35</v>
      </c>
      <c r="K54" s="4" t="s">
        <v>246</v>
      </c>
      <c r="L54" s="4" t="s">
        <v>247</v>
      </c>
      <c r="M54" s="2" t="str">
        <f>""</f>
        <v/>
      </c>
      <c r="N54" s="10">
        <v>43983</v>
      </c>
      <c r="O54" s="5" t="s">
        <v>22</v>
      </c>
      <c r="P54" s="10" t="s">
        <v>22</v>
      </c>
      <c r="Q54" s="5" t="s">
        <v>23</v>
      </c>
      <c r="R54" s="2" t="str">
        <f>""</f>
        <v/>
      </c>
      <c r="S54" s="11" t="s">
        <v>23</v>
      </c>
    </row>
    <row r="55" spans="1:19" thickTop="1" thickBot="1" x14ac:dyDescent="0.35">
      <c r="A55" s="3" t="s">
        <v>249</v>
      </c>
      <c r="B55" s="4" t="s">
        <v>250</v>
      </c>
      <c r="C55" s="4">
        <v>1682</v>
      </c>
      <c r="D55" s="5" t="s">
        <v>26</v>
      </c>
      <c r="E55" s="5" t="s">
        <v>42</v>
      </c>
      <c r="F55" s="6">
        <f>158-24</f>
        <v>134</v>
      </c>
      <c r="G55" s="7">
        <v>180</v>
      </c>
      <c r="H55" s="8" t="s">
        <v>18</v>
      </c>
      <c r="I55" s="2">
        <v>3229</v>
      </c>
      <c r="J55" s="9" t="s">
        <v>28</v>
      </c>
      <c r="K55" s="4" t="s">
        <v>251</v>
      </c>
      <c r="L55" s="4" t="s">
        <v>252</v>
      </c>
      <c r="M55" s="2" t="str">
        <f>""</f>
        <v/>
      </c>
      <c r="N55" s="10">
        <v>44837</v>
      </c>
      <c r="O55" s="5" t="s">
        <v>22</v>
      </c>
      <c r="P55" s="10" t="s">
        <v>22</v>
      </c>
      <c r="Q55" s="5" t="s">
        <v>22</v>
      </c>
      <c r="R55" s="5" t="s">
        <v>23</v>
      </c>
      <c r="S55" s="11" t="s">
        <v>23</v>
      </c>
    </row>
    <row r="56" spans="1:19" thickTop="1" thickBot="1" x14ac:dyDescent="0.35">
      <c r="A56" s="3" t="s">
        <v>253</v>
      </c>
      <c r="B56" s="4" t="s">
        <v>254</v>
      </c>
      <c r="C56" s="4">
        <v>1605</v>
      </c>
      <c r="D56" s="5" t="s">
        <v>16</v>
      </c>
      <c r="E56" s="5" t="s">
        <v>255</v>
      </c>
      <c r="F56" s="6">
        <f>718-60</f>
        <v>658</v>
      </c>
      <c r="G56" s="7">
        <v>884</v>
      </c>
      <c r="H56" s="8" t="s">
        <v>18</v>
      </c>
      <c r="I56" s="2">
        <v>5157</v>
      </c>
      <c r="J56" s="9" t="s">
        <v>28</v>
      </c>
      <c r="K56" s="4" t="s">
        <v>256</v>
      </c>
      <c r="L56" s="4" t="s">
        <v>257</v>
      </c>
      <c r="M56" s="4" t="s">
        <v>257</v>
      </c>
      <c r="N56" s="10">
        <v>44406</v>
      </c>
      <c r="O56" s="5" t="s">
        <v>22</v>
      </c>
      <c r="P56" s="10" t="s">
        <v>22</v>
      </c>
      <c r="Q56" s="5" t="s">
        <v>22</v>
      </c>
      <c r="R56" s="2" t="s">
        <v>23</v>
      </c>
      <c r="S56" s="11" t="s">
        <v>22</v>
      </c>
    </row>
    <row r="57" spans="1:19" thickTop="1" thickBot="1" x14ac:dyDescent="0.35">
      <c r="A57" s="3" t="s">
        <v>258</v>
      </c>
      <c r="B57" s="4" t="s">
        <v>254</v>
      </c>
      <c r="C57" s="4">
        <v>1615</v>
      </c>
      <c r="D57" s="5" t="s">
        <v>16</v>
      </c>
      <c r="E57" s="5" t="s">
        <v>255</v>
      </c>
      <c r="F57" s="6">
        <f>680-4</f>
        <v>676</v>
      </c>
      <c r="G57" s="7">
        <v>772</v>
      </c>
      <c r="H57" s="8" t="s">
        <v>18</v>
      </c>
      <c r="I57" s="2">
        <v>5158</v>
      </c>
      <c r="J57" s="9" t="s">
        <v>28</v>
      </c>
      <c r="K57" s="4" t="s">
        <v>259</v>
      </c>
      <c r="L57" s="4" t="s">
        <v>257</v>
      </c>
      <c r="M57" s="4" t="s">
        <v>257</v>
      </c>
      <c r="N57" s="10">
        <v>44217</v>
      </c>
      <c r="O57" s="5" t="s">
        <v>22</v>
      </c>
      <c r="P57" s="10" t="s">
        <v>22</v>
      </c>
      <c r="Q57" s="5" t="s">
        <v>23</v>
      </c>
      <c r="R57" s="2" t="str">
        <f>""</f>
        <v/>
      </c>
      <c r="S57" s="11" t="s">
        <v>23</v>
      </c>
    </row>
    <row r="58" spans="1:19" thickTop="1" thickBot="1" x14ac:dyDescent="0.35">
      <c r="A58" s="3" t="s">
        <v>260</v>
      </c>
      <c r="B58" s="4" t="s">
        <v>261</v>
      </c>
      <c r="C58" s="4">
        <v>1942</v>
      </c>
      <c r="D58" s="5" t="s">
        <v>41</v>
      </c>
      <c r="E58" s="5" t="s">
        <v>42</v>
      </c>
      <c r="F58" s="6">
        <f>28-4</f>
        <v>24</v>
      </c>
      <c r="G58" s="7">
        <f>242/3</f>
        <v>80.666666666666671</v>
      </c>
      <c r="H58" s="8" t="s">
        <v>134</v>
      </c>
      <c r="I58" s="2">
        <v>16</v>
      </c>
      <c r="J58" s="9" t="s">
        <v>41</v>
      </c>
      <c r="K58" s="4" t="s">
        <v>262</v>
      </c>
      <c r="L58" s="2" t="str">
        <f>""</f>
        <v/>
      </c>
      <c r="M58" s="2" t="str">
        <f>""</f>
        <v/>
      </c>
      <c r="N58" s="10">
        <v>44833</v>
      </c>
      <c r="O58" s="5" t="s">
        <v>22</v>
      </c>
      <c r="P58" s="10" t="s">
        <v>22</v>
      </c>
      <c r="Q58" s="5" t="s">
        <v>23</v>
      </c>
      <c r="R58" s="2" t="str">
        <f>""</f>
        <v/>
      </c>
      <c r="S58" s="11" t="s">
        <v>23</v>
      </c>
    </row>
    <row r="59" spans="1:19" thickTop="1" thickBot="1" x14ac:dyDescent="0.35">
      <c r="A59" s="3" t="s">
        <v>263</v>
      </c>
      <c r="B59" s="4" t="s">
        <v>245</v>
      </c>
      <c r="C59" s="4">
        <v>1762</v>
      </c>
      <c r="D59" s="5" t="s">
        <v>33</v>
      </c>
      <c r="E59" s="5" t="s">
        <v>42</v>
      </c>
      <c r="F59" s="6">
        <f>176-34</f>
        <v>142</v>
      </c>
      <c r="G59" s="7">
        <v>260</v>
      </c>
      <c r="H59" s="8" t="s">
        <v>18</v>
      </c>
      <c r="I59" s="2">
        <v>1058</v>
      </c>
      <c r="J59" s="9" t="s">
        <v>35</v>
      </c>
      <c r="K59" s="4" t="s">
        <v>264</v>
      </c>
      <c r="L59" s="4" t="s">
        <v>265</v>
      </c>
      <c r="M59" s="2" t="str">
        <f>""</f>
        <v/>
      </c>
      <c r="N59" s="2" t="str">
        <f>""</f>
        <v/>
      </c>
      <c r="O59" s="5" t="s">
        <v>22</v>
      </c>
      <c r="P59" s="10" t="s">
        <v>22</v>
      </c>
      <c r="Q59" s="5" t="s">
        <v>23</v>
      </c>
      <c r="R59" s="2" t="str">
        <f>""</f>
        <v/>
      </c>
      <c r="S59" s="11" t="s">
        <v>23</v>
      </c>
    </row>
    <row r="60" spans="1:19" thickTop="1" thickBot="1" x14ac:dyDescent="0.35">
      <c r="A60" s="3" t="s">
        <v>266</v>
      </c>
      <c r="B60" s="4" t="s">
        <v>267</v>
      </c>
      <c r="C60" s="4">
        <v>1913</v>
      </c>
      <c r="D60" s="5" t="s">
        <v>16</v>
      </c>
      <c r="E60" s="5" t="s">
        <v>42</v>
      </c>
      <c r="F60" s="6">
        <f>574-46</f>
        <v>528</v>
      </c>
      <c r="G60" s="7">
        <v>724</v>
      </c>
      <c r="H60" s="8" t="s">
        <v>18</v>
      </c>
      <c r="I60" s="2">
        <v>1924</v>
      </c>
      <c r="J60" s="9" t="s">
        <v>28</v>
      </c>
      <c r="K60" s="4" t="s">
        <v>268</v>
      </c>
      <c r="L60" s="4" t="s">
        <v>269</v>
      </c>
      <c r="M60" s="2" t="str">
        <f>""</f>
        <v/>
      </c>
      <c r="N60" s="10">
        <v>44922</v>
      </c>
      <c r="O60" s="5" t="s">
        <v>22</v>
      </c>
      <c r="P60" s="10" t="s">
        <v>22</v>
      </c>
      <c r="Q60" s="5" t="s">
        <v>23</v>
      </c>
      <c r="R60" s="2" t="str">
        <f>""</f>
        <v/>
      </c>
      <c r="S60" s="11" t="s">
        <v>23</v>
      </c>
    </row>
    <row r="61" spans="1:19" thickTop="1" thickBot="1" x14ac:dyDescent="0.35">
      <c r="A61" s="3" t="s">
        <v>270</v>
      </c>
      <c r="B61" s="4" t="s">
        <v>271</v>
      </c>
      <c r="C61" s="4">
        <v>1922</v>
      </c>
      <c r="D61" s="5" t="s">
        <v>33</v>
      </c>
      <c r="E61" s="5" t="s">
        <v>42</v>
      </c>
      <c r="F61" s="6">
        <f>302-62</f>
        <v>240</v>
      </c>
      <c r="G61" s="7">
        <v>344</v>
      </c>
      <c r="H61" s="8" t="s">
        <v>18</v>
      </c>
      <c r="I61" s="2">
        <v>1626</v>
      </c>
      <c r="J61" s="9" t="s">
        <v>35</v>
      </c>
      <c r="K61" s="4" t="s">
        <v>272</v>
      </c>
      <c r="L61" s="4" t="s">
        <v>273</v>
      </c>
      <c r="M61" s="2" t="str">
        <f>""</f>
        <v/>
      </c>
      <c r="N61" s="2" t="str">
        <f>""</f>
        <v/>
      </c>
      <c r="O61" s="5" t="s">
        <v>22</v>
      </c>
      <c r="P61" s="10" t="s">
        <v>22</v>
      </c>
      <c r="Q61" s="5" t="s">
        <v>23</v>
      </c>
      <c r="R61" s="2" t="str">
        <f>""</f>
        <v/>
      </c>
      <c r="S61" s="11" t="s">
        <v>23</v>
      </c>
    </row>
    <row r="62" spans="1:19" thickTop="1" thickBot="1" x14ac:dyDescent="0.35">
      <c r="A62" s="3" t="s">
        <v>274</v>
      </c>
      <c r="B62" s="4" t="s">
        <v>275</v>
      </c>
      <c r="C62" s="4">
        <v>1868</v>
      </c>
      <c r="D62" s="5" t="s">
        <v>111</v>
      </c>
      <c r="E62" s="5" t="s">
        <v>42</v>
      </c>
      <c r="F62" s="6">
        <f>577-48</f>
        <v>529</v>
      </c>
      <c r="G62" s="7">
        <v>612</v>
      </c>
      <c r="H62" s="8" t="s">
        <v>60</v>
      </c>
      <c r="I62" s="2">
        <v>3921</v>
      </c>
      <c r="J62" s="9" t="s">
        <v>72</v>
      </c>
      <c r="K62" s="4" t="s">
        <v>276</v>
      </c>
      <c r="L62" s="4" t="s">
        <v>277</v>
      </c>
      <c r="M62" s="2" t="str">
        <f>""</f>
        <v/>
      </c>
      <c r="N62" s="10">
        <v>44927</v>
      </c>
      <c r="O62" s="5" t="s">
        <v>22</v>
      </c>
      <c r="P62" s="10" t="s">
        <v>22</v>
      </c>
      <c r="Q62" s="5" t="s">
        <v>23</v>
      </c>
      <c r="R62" s="2" t="str">
        <f>""</f>
        <v/>
      </c>
      <c r="S62" s="11" t="s">
        <v>23</v>
      </c>
    </row>
    <row r="63" spans="1:19" thickTop="1" thickBot="1" x14ac:dyDescent="0.35">
      <c r="A63" s="3" t="s">
        <v>278</v>
      </c>
      <c r="B63" s="4" t="s">
        <v>279</v>
      </c>
      <c r="C63" s="4">
        <v>2006</v>
      </c>
      <c r="D63" s="5" t="s">
        <v>48</v>
      </c>
      <c r="E63" s="5" t="s">
        <v>42</v>
      </c>
      <c r="F63" s="6">
        <f>220-4</f>
        <v>216</v>
      </c>
      <c r="G63" s="7">
        <v>228</v>
      </c>
      <c r="H63" s="8" t="s">
        <v>280</v>
      </c>
      <c r="I63" s="2">
        <v>8864</v>
      </c>
      <c r="J63" s="2" t="str">
        <f>""</f>
        <v/>
      </c>
      <c r="K63" s="4" t="s">
        <v>281</v>
      </c>
      <c r="L63" s="2" t="str">
        <f>""</f>
        <v/>
      </c>
      <c r="M63" s="2" t="str">
        <f>""</f>
        <v/>
      </c>
      <c r="N63" s="10">
        <v>43389</v>
      </c>
      <c r="O63" s="5" t="s">
        <v>22</v>
      </c>
      <c r="P63" s="10" t="s">
        <v>22</v>
      </c>
      <c r="Q63" s="5" t="s">
        <v>22</v>
      </c>
      <c r="R63" s="5" t="s">
        <v>22</v>
      </c>
      <c r="S63" s="11" t="s">
        <v>22</v>
      </c>
    </row>
    <row r="64" spans="1:19" thickTop="1" thickBot="1" x14ac:dyDescent="0.35">
      <c r="A64" s="3" t="s">
        <v>282</v>
      </c>
      <c r="B64" s="4" t="s">
        <v>283</v>
      </c>
      <c r="C64" s="4">
        <v>1509</v>
      </c>
      <c r="D64" s="5" t="s">
        <v>33</v>
      </c>
      <c r="E64" s="5" t="s">
        <v>27</v>
      </c>
      <c r="F64" s="6">
        <f>94-10</f>
        <v>84</v>
      </c>
      <c r="G64" s="7">
        <f>194/2</f>
        <v>97</v>
      </c>
      <c r="H64" s="8" t="s">
        <v>18</v>
      </c>
      <c r="I64" s="2">
        <v>36</v>
      </c>
      <c r="J64" s="9" t="s">
        <v>35</v>
      </c>
      <c r="K64" s="4" t="s">
        <v>284</v>
      </c>
      <c r="L64" s="4" t="s">
        <v>285</v>
      </c>
      <c r="M64" s="4" t="s">
        <v>286</v>
      </c>
      <c r="N64" s="2" t="str">
        <f>""</f>
        <v/>
      </c>
      <c r="O64" s="5" t="s">
        <v>22</v>
      </c>
      <c r="P64" s="10" t="s">
        <v>22</v>
      </c>
      <c r="Q64" s="5" t="s">
        <v>22</v>
      </c>
      <c r="R64" s="5" t="s">
        <v>22</v>
      </c>
      <c r="S64" s="11" t="s">
        <v>23</v>
      </c>
    </row>
    <row r="65" spans="1:19" thickTop="1" thickBot="1" x14ac:dyDescent="0.35">
      <c r="A65" s="3" t="s">
        <v>287</v>
      </c>
      <c r="B65" s="4" t="s">
        <v>288</v>
      </c>
      <c r="C65" s="4">
        <v>1959</v>
      </c>
      <c r="D65" s="5" t="s">
        <v>41</v>
      </c>
      <c r="E65" s="5" t="s">
        <v>42</v>
      </c>
      <c r="F65" s="6">
        <f>125-4</f>
        <v>121</v>
      </c>
      <c r="G65" s="7">
        <v>164</v>
      </c>
      <c r="H65" s="8" t="s">
        <v>134</v>
      </c>
      <c r="I65" s="2">
        <v>444</v>
      </c>
      <c r="J65" s="9" t="s">
        <v>41</v>
      </c>
      <c r="K65" s="4" t="s">
        <v>289</v>
      </c>
      <c r="L65" s="4" t="s">
        <v>290</v>
      </c>
      <c r="M65" s="2" t="str">
        <f>""</f>
        <v/>
      </c>
      <c r="N65" s="10">
        <v>44836</v>
      </c>
      <c r="O65" s="5" t="s">
        <v>22</v>
      </c>
      <c r="P65" s="10" t="s">
        <v>22</v>
      </c>
      <c r="Q65" s="5" t="s">
        <v>22</v>
      </c>
      <c r="R65" s="5" t="s">
        <v>23</v>
      </c>
      <c r="S65" s="11" t="s">
        <v>23</v>
      </c>
    </row>
    <row r="66" spans="1:19" thickTop="1" thickBot="1" x14ac:dyDescent="0.35">
      <c r="A66" s="3" t="s">
        <v>291</v>
      </c>
      <c r="B66" s="4" t="s">
        <v>245</v>
      </c>
      <c r="C66" s="4">
        <v>1762</v>
      </c>
      <c r="D66" s="5" t="s">
        <v>33</v>
      </c>
      <c r="E66" s="5" t="s">
        <v>42</v>
      </c>
      <c r="F66" s="6">
        <f>693-36</f>
        <v>657</v>
      </c>
      <c r="G66" s="7">
        <v>852</v>
      </c>
      <c r="H66" s="8" t="s">
        <v>18</v>
      </c>
      <c r="I66" s="2">
        <v>1428</v>
      </c>
      <c r="J66" s="9" t="s">
        <v>35</v>
      </c>
      <c r="K66" s="4" t="s">
        <v>292</v>
      </c>
      <c r="L66" s="4" t="s">
        <v>293</v>
      </c>
      <c r="M66" s="2" t="str">
        <f>""</f>
        <v/>
      </c>
      <c r="N66" s="2" t="str">
        <f>""</f>
        <v/>
      </c>
      <c r="O66" s="5" t="s">
        <v>22</v>
      </c>
      <c r="P66" s="10" t="s">
        <v>22</v>
      </c>
      <c r="Q66" s="5" t="s">
        <v>22</v>
      </c>
      <c r="R66" s="5" t="s">
        <v>22</v>
      </c>
      <c r="S66" s="11" t="s">
        <v>22</v>
      </c>
    </row>
    <row r="67" spans="1:19" thickTop="1" thickBot="1" x14ac:dyDescent="0.35">
      <c r="A67" s="3" t="s">
        <v>294</v>
      </c>
      <c r="B67" s="4" t="s">
        <v>295</v>
      </c>
      <c r="C67" s="4">
        <v>1952</v>
      </c>
      <c r="D67" s="5" t="s">
        <v>26</v>
      </c>
      <c r="E67" s="5" t="s">
        <v>42</v>
      </c>
      <c r="F67" s="6">
        <f>124-4</f>
        <v>120</v>
      </c>
      <c r="G67" s="7">
        <v>132</v>
      </c>
      <c r="H67" s="8" t="s">
        <v>296</v>
      </c>
      <c r="I67" s="2" t="str">
        <f>""</f>
        <v/>
      </c>
      <c r="J67" s="2" t="str">
        <f>""</f>
        <v/>
      </c>
      <c r="K67" s="4" t="s">
        <v>297</v>
      </c>
      <c r="L67" s="2" t="str">
        <f>""</f>
        <v/>
      </c>
      <c r="M67" s="2" t="str">
        <f>""</f>
        <v/>
      </c>
      <c r="N67" s="10">
        <v>42763</v>
      </c>
      <c r="O67" s="5" t="s">
        <v>22</v>
      </c>
      <c r="P67" s="10" t="s">
        <v>22</v>
      </c>
      <c r="Q67" s="5" t="s">
        <v>22</v>
      </c>
      <c r="R67" s="5" t="s">
        <v>23</v>
      </c>
      <c r="S67" s="11" t="s">
        <v>22</v>
      </c>
    </row>
    <row r="68" spans="1:19" thickTop="1" thickBot="1" x14ac:dyDescent="0.35">
      <c r="A68" s="3" t="s">
        <v>298</v>
      </c>
      <c r="B68" s="4" t="s">
        <v>299</v>
      </c>
      <c r="C68" s="4">
        <v>-19</v>
      </c>
      <c r="D68" s="5" t="s">
        <v>41</v>
      </c>
      <c r="E68" s="5" t="s">
        <v>27</v>
      </c>
      <c r="F68" s="6">
        <f>507-38</f>
        <v>469</v>
      </c>
      <c r="G68" s="7">
        <v>580</v>
      </c>
      <c r="H68" s="8" t="s">
        <v>60</v>
      </c>
      <c r="I68" s="2">
        <v>21006</v>
      </c>
      <c r="J68" s="9" t="s">
        <v>72</v>
      </c>
      <c r="K68" s="4" t="s">
        <v>300</v>
      </c>
      <c r="L68" s="4" t="s">
        <v>301</v>
      </c>
      <c r="M68" s="4" t="s">
        <v>302</v>
      </c>
      <c r="N68" s="10">
        <v>43586</v>
      </c>
      <c r="O68" s="5" t="s">
        <v>22</v>
      </c>
      <c r="P68" s="10" t="s">
        <v>22</v>
      </c>
      <c r="Q68" s="5" t="s">
        <v>23</v>
      </c>
      <c r="R68" s="2" t="str">
        <f>""</f>
        <v/>
      </c>
      <c r="S68" s="11" t="s">
        <v>22</v>
      </c>
    </row>
    <row r="69" spans="1:19" thickTop="1" thickBot="1" x14ac:dyDescent="0.35">
      <c r="A69" s="3" t="s">
        <v>303</v>
      </c>
      <c r="B69" s="4" t="s">
        <v>304</v>
      </c>
      <c r="C69" s="4">
        <v>1776</v>
      </c>
      <c r="D69" s="5" t="s">
        <v>33</v>
      </c>
      <c r="E69" s="5" t="s">
        <v>42</v>
      </c>
      <c r="F69" s="6">
        <f>64-34</f>
        <v>30</v>
      </c>
      <c r="G69" s="7">
        <v>124</v>
      </c>
      <c r="H69" s="8" t="s">
        <v>18</v>
      </c>
      <c r="I69" s="2">
        <v>1429</v>
      </c>
      <c r="J69" s="9" t="s">
        <v>35</v>
      </c>
      <c r="K69" s="4" t="s">
        <v>305</v>
      </c>
      <c r="L69" s="4" t="s">
        <v>306</v>
      </c>
      <c r="M69" s="2" t="str">
        <f>""</f>
        <v/>
      </c>
      <c r="N69" s="10">
        <v>43678</v>
      </c>
      <c r="O69" s="5" t="s">
        <v>22</v>
      </c>
      <c r="P69" s="10" t="s">
        <v>22</v>
      </c>
      <c r="Q69" s="5" t="s">
        <v>23</v>
      </c>
      <c r="R69" s="2" t="str">
        <f>""</f>
        <v/>
      </c>
      <c r="S69" s="11" t="s">
        <v>23</v>
      </c>
    </row>
    <row r="70" spans="1:19" thickTop="1" thickBot="1" x14ac:dyDescent="0.35">
      <c r="A70" s="3" t="s">
        <v>307</v>
      </c>
      <c r="B70" s="4" t="s">
        <v>308</v>
      </c>
      <c r="C70" s="4">
        <v>1698</v>
      </c>
      <c r="D70" s="5" t="s">
        <v>41</v>
      </c>
      <c r="E70" s="5" t="s">
        <v>42</v>
      </c>
      <c r="F70" s="6">
        <f>224-164</f>
        <v>60</v>
      </c>
      <c r="G70" s="7">
        <v>119</v>
      </c>
      <c r="H70" s="8" t="s">
        <v>134</v>
      </c>
      <c r="I70" s="2">
        <v>195</v>
      </c>
      <c r="J70" s="9" t="s">
        <v>41</v>
      </c>
      <c r="K70" s="4" t="s">
        <v>309</v>
      </c>
      <c r="L70" s="4" t="s">
        <v>310</v>
      </c>
      <c r="M70" s="2" t="str">
        <f>""</f>
        <v/>
      </c>
      <c r="N70" s="10">
        <v>44237</v>
      </c>
      <c r="O70" s="5" t="s">
        <v>22</v>
      </c>
      <c r="P70" s="10" t="s">
        <v>22</v>
      </c>
      <c r="Q70" s="5" t="s">
        <v>23</v>
      </c>
      <c r="R70" s="2" t="str">
        <f>""</f>
        <v/>
      </c>
      <c r="S70" s="11" t="s">
        <v>23</v>
      </c>
    </row>
    <row r="71" spans="1:19" thickTop="1" thickBot="1" x14ac:dyDescent="0.35">
      <c r="A71" s="3" t="s">
        <v>311</v>
      </c>
      <c r="B71" s="4" t="s">
        <v>203</v>
      </c>
      <c r="C71" s="4">
        <v>-350</v>
      </c>
      <c r="D71" s="5" t="s">
        <v>33</v>
      </c>
      <c r="E71" s="5" t="s">
        <v>78</v>
      </c>
      <c r="F71" s="6">
        <f>550-44</f>
        <v>506</v>
      </c>
      <c r="G71" s="7">
        <v>578</v>
      </c>
      <c r="H71" s="8" t="s">
        <v>18</v>
      </c>
      <c r="I71" s="2">
        <v>947</v>
      </c>
      <c r="J71" s="9" t="s">
        <v>35</v>
      </c>
      <c r="K71" s="4" t="s">
        <v>312</v>
      </c>
      <c r="L71" s="4" t="s">
        <v>205</v>
      </c>
      <c r="M71" s="4" t="s">
        <v>205</v>
      </c>
      <c r="N71" s="2" t="str">
        <f>""</f>
        <v/>
      </c>
      <c r="O71" s="5" t="s">
        <v>22</v>
      </c>
      <c r="P71" s="10" t="s">
        <v>22</v>
      </c>
      <c r="Q71" s="5" t="s">
        <v>23</v>
      </c>
      <c r="R71" s="2" t="str">
        <f>""</f>
        <v/>
      </c>
      <c r="S71" s="11" t="s">
        <v>23</v>
      </c>
    </row>
    <row r="72" spans="1:19" thickTop="1" thickBot="1" x14ac:dyDescent="0.35">
      <c r="A72" s="3" t="s">
        <v>313</v>
      </c>
      <c r="B72" s="4" t="s">
        <v>314</v>
      </c>
      <c r="C72" s="4">
        <v>1834</v>
      </c>
      <c r="D72" s="5" t="s">
        <v>16</v>
      </c>
      <c r="E72" s="5" t="s">
        <v>42</v>
      </c>
      <c r="F72" s="6">
        <f>275-52</f>
        <v>223</v>
      </c>
      <c r="G72" s="7">
        <v>324</v>
      </c>
      <c r="H72" s="8" t="s">
        <v>60</v>
      </c>
      <c r="I72" s="2">
        <v>1414</v>
      </c>
      <c r="J72" s="9" t="s">
        <v>72</v>
      </c>
      <c r="K72" s="4" t="s">
        <v>315</v>
      </c>
      <c r="L72" s="4" t="s">
        <v>316</v>
      </c>
      <c r="M72" s="2" t="str">
        <f>""</f>
        <v/>
      </c>
      <c r="N72" s="10">
        <v>44013</v>
      </c>
      <c r="O72" s="5" t="s">
        <v>22</v>
      </c>
      <c r="P72" s="10" t="s">
        <v>22</v>
      </c>
      <c r="Q72" s="5" t="s">
        <v>23</v>
      </c>
      <c r="R72" s="2" t="str">
        <f>""</f>
        <v/>
      </c>
      <c r="S72" s="11" t="s">
        <v>23</v>
      </c>
    </row>
    <row r="73" spans="1:19" thickTop="1" thickBot="1" x14ac:dyDescent="0.35">
      <c r="A73" s="3" t="s">
        <v>317</v>
      </c>
      <c r="B73" s="4" t="s">
        <v>318</v>
      </c>
      <c r="C73" s="4">
        <v>1947</v>
      </c>
      <c r="D73" s="5" t="s">
        <v>164</v>
      </c>
      <c r="E73" s="5" t="s">
        <v>42</v>
      </c>
      <c r="F73" s="6">
        <f>154-4</f>
        <v>150</v>
      </c>
      <c r="G73" s="7">
        <v>166</v>
      </c>
      <c r="H73" s="8" t="s">
        <v>18</v>
      </c>
      <c r="I73" s="2">
        <v>1363</v>
      </c>
      <c r="J73" s="9" t="s">
        <v>19</v>
      </c>
      <c r="K73" s="4" t="s">
        <v>319</v>
      </c>
      <c r="L73" s="2" t="str">
        <f>""</f>
        <v/>
      </c>
      <c r="M73" s="2" t="str">
        <f>""</f>
        <v/>
      </c>
      <c r="N73" s="10">
        <v>42858</v>
      </c>
      <c r="O73" s="5" t="s">
        <v>22</v>
      </c>
      <c r="P73" s="10" t="s">
        <v>22</v>
      </c>
      <c r="Q73" s="5" t="s">
        <v>22</v>
      </c>
      <c r="R73" s="5" t="s">
        <v>23</v>
      </c>
      <c r="S73" s="11" t="s">
        <v>23</v>
      </c>
    </row>
    <row r="74" spans="1:19" thickTop="1" thickBot="1" x14ac:dyDescent="0.35">
      <c r="A74" s="3" t="s">
        <v>320</v>
      </c>
      <c r="B74" s="4" t="s">
        <v>321</v>
      </c>
      <c r="C74" s="4">
        <v>-590</v>
      </c>
      <c r="D74" s="5" t="s">
        <v>41</v>
      </c>
      <c r="E74" s="5" t="s">
        <v>78</v>
      </c>
      <c r="F74" s="6">
        <f>294-134</f>
        <v>160</v>
      </c>
      <c r="G74" s="7">
        <f>454/2</f>
        <v>227</v>
      </c>
      <c r="H74" s="8" t="s">
        <v>18</v>
      </c>
      <c r="I74" s="2">
        <v>6696</v>
      </c>
      <c r="J74" s="9" t="s">
        <v>28</v>
      </c>
      <c r="K74" s="4" t="s">
        <v>322</v>
      </c>
      <c r="L74" s="4" t="s">
        <v>323</v>
      </c>
      <c r="M74" s="4" t="s">
        <v>324</v>
      </c>
      <c r="N74" s="10">
        <v>43688</v>
      </c>
      <c r="O74" s="5" t="s">
        <v>22</v>
      </c>
      <c r="P74" s="10" t="s">
        <v>22</v>
      </c>
      <c r="Q74" s="5" t="s">
        <v>22</v>
      </c>
      <c r="R74" s="5" t="s">
        <v>22</v>
      </c>
      <c r="S74" s="11" t="s">
        <v>23</v>
      </c>
    </row>
    <row r="75" spans="1:19" thickTop="1" thickBot="1" x14ac:dyDescent="0.35">
      <c r="A75" s="3" t="s">
        <v>320</v>
      </c>
      <c r="B75" s="4" t="s">
        <v>325</v>
      </c>
      <c r="C75" s="4">
        <v>1694</v>
      </c>
      <c r="D75" s="5" t="s">
        <v>41</v>
      </c>
      <c r="E75" s="5" t="s">
        <v>42</v>
      </c>
      <c r="F75" s="6">
        <f>422-62</f>
        <v>360</v>
      </c>
      <c r="G75" s="7">
        <f>548/2</f>
        <v>274</v>
      </c>
      <c r="H75" s="8" t="s">
        <v>60</v>
      </c>
      <c r="I75" s="2">
        <v>1198</v>
      </c>
      <c r="J75" s="9" t="s">
        <v>72</v>
      </c>
      <c r="K75" s="4" t="s">
        <v>326</v>
      </c>
      <c r="L75" s="4" t="s">
        <v>327</v>
      </c>
      <c r="M75" s="2" t="str">
        <f>""</f>
        <v/>
      </c>
      <c r="N75" s="10">
        <v>43983</v>
      </c>
      <c r="O75" s="5" t="s">
        <v>22</v>
      </c>
      <c r="P75" s="10" t="s">
        <v>22</v>
      </c>
      <c r="Q75" s="5" t="s">
        <v>22</v>
      </c>
      <c r="R75" s="5" t="s">
        <v>23</v>
      </c>
      <c r="S75" s="11" t="s">
        <v>23</v>
      </c>
    </row>
    <row r="76" spans="1:19" thickTop="1" thickBot="1" x14ac:dyDescent="0.35">
      <c r="A76" s="3" t="s">
        <v>328</v>
      </c>
      <c r="B76" s="4" t="s">
        <v>329</v>
      </c>
      <c r="C76" s="4">
        <v>2019</v>
      </c>
      <c r="D76" s="5" t="s">
        <v>330</v>
      </c>
      <c r="E76" s="5" t="s">
        <v>42</v>
      </c>
      <c r="F76" s="6">
        <f>235-3</f>
        <v>232</v>
      </c>
      <c r="G76" s="7">
        <v>242</v>
      </c>
      <c r="H76" s="8" t="s">
        <v>331</v>
      </c>
      <c r="I76" s="2" t="str">
        <f>""</f>
        <v/>
      </c>
      <c r="J76" s="2" t="str">
        <f>""</f>
        <v/>
      </c>
      <c r="K76" s="4" t="s">
        <v>332</v>
      </c>
      <c r="L76" s="2" t="str">
        <f>""</f>
        <v/>
      </c>
      <c r="M76" s="2" t="str">
        <f>""</f>
        <v/>
      </c>
      <c r="N76" s="2" t="str">
        <f>""</f>
        <v/>
      </c>
      <c r="O76" s="5" t="s">
        <v>22</v>
      </c>
      <c r="P76" s="10" t="s">
        <v>22</v>
      </c>
      <c r="Q76" s="5" t="s">
        <v>22</v>
      </c>
      <c r="R76" s="5" t="s">
        <v>23</v>
      </c>
      <c r="S76" s="11" t="s">
        <v>23</v>
      </c>
    </row>
    <row r="77" spans="1:19" thickTop="1" thickBot="1" x14ac:dyDescent="0.35">
      <c r="A77" s="3" t="s">
        <v>333</v>
      </c>
      <c r="B77" s="4" t="s">
        <v>58</v>
      </c>
      <c r="C77" s="4">
        <v>1998</v>
      </c>
      <c r="D77" s="5" t="s">
        <v>48</v>
      </c>
      <c r="E77" s="5" t="s">
        <v>49</v>
      </c>
      <c r="F77" s="6">
        <f>506-5+1</f>
        <v>502</v>
      </c>
      <c r="G77" s="7">
        <v>516</v>
      </c>
      <c r="H77" s="8" t="s">
        <v>59</v>
      </c>
      <c r="I77" s="2">
        <v>31275</v>
      </c>
      <c r="J77" s="9" t="s">
        <v>60</v>
      </c>
      <c r="K77" s="4" t="s">
        <v>334</v>
      </c>
      <c r="L77" s="2" t="str">
        <f>""</f>
        <v/>
      </c>
      <c r="M77" s="4" t="s">
        <v>335</v>
      </c>
      <c r="N77" s="10">
        <v>42383</v>
      </c>
      <c r="O77" s="5" t="s">
        <v>22</v>
      </c>
      <c r="P77" s="10" t="s">
        <v>22</v>
      </c>
      <c r="Q77" s="5" t="s">
        <v>23</v>
      </c>
      <c r="R77" s="2" t="str">
        <f>""</f>
        <v/>
      </c>
      <c r="S77" s="11" t="s">
        <v>23</v>
      </c>
    </row>
    <row r="78" spans="1:19" thickTop="1" thickBot="1" x14ac:dyDescent="0.35">
      <c r="A78" s="3" t="s">
        <v>336</v>
      </c>
      <c r="B78" s="4" t="s">
        <v>337</v>
      </c>
      <c r="C78" s="4">
        <v>1818</v>
      </c>
      <c r="D78" s="5" t="s">
        <v>16</v>
      </c>
      <c r="E78" s="5" t="s">
        <v>17</v>
      </c>
      <c r="F78" s="6">
        <f>327-44</f>
        <v>283</v>
      </c>
      <c r="G78" s="7">
        <v>356</v>
      </c>
      <c r="H78" s="8" t="s">
        <v>60</v>
      </c>
      <c r="I78" s="2">
        <v>31266</v>
      </c>
      <c r="J78" s="9" t="s">
        <v>72</v>
      </c>
      <c r="K78" s="4" t="s">
        <v>338</v>
      </c>
      <c r="L78" s="4" t="s">
        <v>339</v>
      </c>
      <c r="M78" s="4" t="s">
        <v>340</v>
      </c>
      <c r="N78" s="10">
        <v>43678</v>
      </c>
      <c r="O78" s="5" t="s">
        <v>22</v>
      </c>
      <c r="P78" s="10" t="s">
        <v>22</v>
      </c>
      <c r="Q78" s="5" t="s">
        <v>22</v>
      </c>
      <c r="R78" s="5" t="s">
        <v>22</v>
      </c>
      <c r="S78" s="11" t="s">
        <v>23</v>
      </c>
    </row>
    <row r="79" spans="1:19" thickTop="1" thickBot="1" x14ac:dyDescent="0.35">
      <c r="A79" s="3" t="s">
        <v>341</v>
      </c>
      <c r="B79" s="4" t="s">
        <v>342</v>
      </c>
      <c r="C79" s="4">
        <v>1534</v>
      </c>
      <c r="D79" s="5" t="s">
        <v>16</v>
      </c>
      <c r="E79" s="5" t="s">
        <v>42</v>
      </c>
      <c r="F79" s="6">
        <f>505-28</f>
        <v>477</v>
      </c>
      <c r="G79" s="7">
        <v>692</v>
      </c>
      <c r="H79" s="8" t="s">
        <v>18</v>
      </c>
      <c r="I79" s="2">
        <v>4535</v>
      </c>
      <c r="J79" s="9" t="s">
        <v>28</v>
      </c>
      <c r="K79" s="4" t="s">
        <v>343</v>
      </c>
      <c r="L79" s="4" t="s">
        <v>344</v>
      </c>
      <c r="M79" s="2" t="str">
        <f>""</f>
        <v/>
      </c>
      <c r="N79" s="10">
        <v>43180</v>
      </c>
      <c r="O79" s="5" t="s">
        <v>22</v>
      </c>
      <c r="P79" s="10" t="s">
        <v>22</v>
      </c>
      <c r="Q79" s="5" t="s">
        <v>22</v>
      </c>
      <c r="R79" s="5" t="s">
        <v>23</v>
      </c>
      <c r="S79" s="11" t="s">
        <v>23</v>
      </c>
    </row>
    <row r="80" spans="1:19" thickTop="1" thickBot="1" x14ac:dyDescent="0.35">
      <c r="A80" s="3" t="s">
        <v>345</v>
      </c>
      <c r="B80" s="4" t="s">
        <v>346</v>
      </c>
      <c r="C80" s="4">
        <v>2020</v>
      </c>
      <c r="D80" s="5" t="s">
        <v>111</v>
      </c>
      <c r="E80" s="5" t="s">
        <v>34</v>
      </c>
      <c r="F80" s="6">
        <f>505-2</f>
        <v>503</v>
      </c>
      <c r="G80" s="7">
        <v>518</v>
      </c>
      <c r="H80" s="8" t="s">
        <v>94</v>
      </c>
      <c r="I80" s="2" t="str">
        <f>""</f>
        <v/>
      </c>
      <c r="J80" s="9" t="s">
        <v>112</v>
      </c>
      <c r="K80" s="4" t="s">
        <v>347</v>
      </c>
      <c r="L80" s="2" t="str">
        <f>""</f>
        <v/>
      </c>
      <c r="M80" s="2" t="str">
        <f>""</f>
        <v/>
      </c>
      <c r="N80" s="2" t="str">
        <f>""</f>
        <v/>
      </c>
      <c r="O80" s="5" t="s">
        <v>22</v>
      </c>
      <c r="P80" s="10" t="s">
        <v>22</v>
      </c>
      <c r="Q80" s="5" t="s">
        <v>23</v>
      </c>
      <c r="R80" s="2" t="str">
        <f>""</f>
        <v/>
      </c>
      <c r="S80" s="11" t="s">
        <v>23</v>
      </c>
    </row>
    <row r="81" spans="1:19" thickTop="1" thickBot="1" x14ac:dyDescent="0.35">
      <c r="A81" s="3" t="s">
        <v>348</v>
      </c>
      <c r="B81" s="4" t="s">
        <v>32</v>
      </c>
      <c r="C81" s="4">
        <v>1887</v>
      </c>
      <c r="D81" s="5" t="s">
        <v>33</v>
      </c>
      <c r="E81" s="5" t="s">
        <v>34</v>
      </c>
      <c r="F81" s="6">
        <f>181-22</f>
        <v>159</v>
      </c>
      <c r="G81" s="7">
        <v>292</v>
      </c>
      <c r="H81" s="8" t="s">
        <v>18</v>
      </c>
      <c r="I81" s="2">
        <v>754</v>
      </c>
      <c r="J81" s="9" t="s">
        <v>35</v>
      </c>
      <c r="K81" s="4" t="s">
        <v>349</v>
      </c>
      <c r="L81" s="4" t="s">
        <v>350</v>
      </c>
      <c r="M81" s="4" t="s">
        <v>351</v>
      </c>
      <c r="N81" s="2" t="str">
        <f>""</f>
        <v/>
      </c>
      <c r="O81" s="5" t="s">
        <v>22</v>
      </c>
      <c r="P81" s="10" t="s">
        <v>22</v>
      </c>
      <c r="Q81" s="5" t="s">
        <v>23</v>
      </c>
      <c r="R81" s="2" t="str">
        <f>""</f>
        <v/>
      </c>
      <c r="S81" s="11" t="s">
        <v>23</v>
      </c>
    </row>
    <row r="82" spans="1:19" thickTop="1" thickBot="1" x14ac:dyDescent="0.35">
      <c r="A82" s="3" t="s">
        <v>352</v>
      </c>
      <c r="B82" s="4" t="s">
        <v>98</v>
      </c>
      <c r="C82" s="4">
        <v>1885</v>
      </c>
      <c r="D82" s="5" t="s">
        <v>33</v>
      </c>
      <c r="E82" s="5" t="s">
        <v>42</v>
      </c>
      <c r="F82" s="6">
        <f>568-26</f>
        <v>542</v>
      </c>
      <c r="G82" s="7">
        <v>612</v>
      </c>
      <c r="H82" s="8" t="s">
        <v>60</v>
      </c>
      <c r="I82" s="2">
        <v>145</v>
      </c>
      <c r="J82" s="9" t="s">
        <v>72</v>
      </c>
      <c r="K82" s="4" t="s">
        <v>353</v>
      </c>
      <c r="L82" s="4" t="s">
        <v>354</v>
      </c>
      <c r="M82" s="2" t="str">
        <f>""</f>
        <v/>
      </c>
      <c r="N82" s="10">
        <v>44470</v>
      </c>
      <c r="O82" s="5" t="s">
        <v>22</v>
      </c>
      <c r="P82" s="10" t="s">
        <v>22</v>
      </c>
      <c r="Q82" s="5" t="s">
        <v>23</v>
      </c>
      <c r="R82" s="2" t="str">
        <f>""</f>
        <v/>
      </c>
      <c r="S82" s="11" t="s">
        <v>23</v>
      </c>
    </row>
    <row r="83" spans="1:19" thickTop="1" thickBot="1" x14ac:dyDescent="0.35">
      <c r="A83" s="3" t="s">
        <v>355</v>
      </c>
      <c r="B83" s="4" t="s">
        <v>83</v>
      </c>
      <c r="C83" s="4">
        <v>-387</v>
      </c>
      <c r="D83" s="5" t="s">
        <v>33</v>
      </c>
      <c r="E83" s="5" t="s">
        <v>78</v>
      </c>
      <c r="F83" s="6">
        <f>313-120</f>
        <v>193</v>
      </c>
      <c r="G83" s="7">
        <v>388</v>
      </c>
      <c r="H83" s="8" t="s">
        <v>18</v>
      </c>
      <c r="I83" s="2">
        <v>1326</v>
      </c>
      <c r="J83" s="9" t="s">
        <v>35</v>
      </c>
      <c r="K83" s="4" t="s">
        <v>356</v>
      </c>
      <c r="L83" s="4" t="s">
        <v>357</v>
      </c>
      <c r="M83" s="4" t="s">
        <v>357</v>
      </c>
      <c r="N83" s="10">
        <v>44044</v>
      </c>
      <c r="O83" s="5" t="s">
        <v>22</v>
      </c>
      <c r="P83" s="10" t="s">
        <v>22</v>
      </c>
      <c r="Q83" s="5" t="s">
        <v>23</v>
      </c>
      <c r="R83" s="2" t="str">
        <f>""</f>
        <v/>
      </c>
      <c r="S83" s="11" t="s">
        <v>23</v>
      </c>
    </row>
    <row r="84" spans="1:19" thickTop="1" thickBot="1" x14ac:dyDescent="0.35">
      <c r="A84" s="3" t="s">
        <v>358</v>
      </c>
      <c r="B84" s="4" t="s">
        <v>359</v>
      </c>
      <c r="C84" s="4">
        <v>2018</v>
      </c>
      <c r="D84" s="5" t="s">
        <v>65</v>
      </c>
      <c r="E84" s="5" t="s">
        <v>42</v>
      </c>
      <c r="F84" s="6">
        <f>362</f>
        <v>362</v>
      </c>
      <c r="G84" s="7">
        <v>388</v>
      </c>
      <c r="H84" s="8" t="s">
        <v>360</v>
      </c>
      <c r="I84" s="2" t="str">
        <f>""</f>
        <v/>
      </c>
      <c r="J84" s="9" t="s">
        <v>361</v>
      </c>
      <c r="K84" s="4" t="s">
        <v>362</v>
      </c>
      <c r="L84" s="2" t="str">
        <f>""</f>
        <v/>
      </c>
      <c r="M84" s="2" t="str">
        <f>""</f>
        <v/>
      </c>
      <c r="N84" s="10">
        <v>43983</v>
      </c>
      <c r="O84" s="5" t="s">
        <v>22</v>
      </c>
      <c r="P84" s="10" t="s">
        <v>22</v>
      </c>
      <c r="Q84" s="5" t="s">
        <v>22</v>
      </c>
      <c r="R84" s="5" t="s">
        <v>23</v>
      </c>
      <c r="S84" s="11" t="s">
        <v>23</v>
      </c>
    </row>
    <row r="85" spans="1:19" thickTop="1" thickBot="1" x14ac:dyDescent="0.35">
      <c r="A85" s="3" t="s">
        <v>363</v>
      </c>
      <c r="B85" s="4" t="s">
        <v>364</v>
      </c>
      <c r="C85" s="4">
        <v>2017</v>
      </c>
      <c r="D85" s="5" t="s">
        <v>111</v>
      </c>
      <c r="E85" s="5" t="s">
        <v>34</v>
      </c>
      <c r="F85" s="6">
        <f>499-2</f>
        <v>497</v>
      </c>
      <c r="G85" s="7">
        <v>518</v>
      </c>
      <c r="H85" s="8" t="s">
        <v>94</v>
      </c>
      <c r="I85" s="2" t="str">
        <f>""</f>
        <v/>
      </c>
      <c r="J85" s="9" t="s">
        <v>95</v>
      </c>
      <c r="K85" s="4" t="s">
        <v>365</v>
      </c>
      <c r="L85" s="2" t="str">
        <f>""</f>
        <v/>
      </c>
      <c r="M85" s="2" t="str">
        <f>""</f>
        <v/>
      </c>
      <c r="N85" s="2" t="str">
        <f>""</f>
        <v/>
      </c>
      <c r="O85" s="5" t="s">
        <v>22</v>
      </c>
      <c r="P85" s="10" t="s">
        <v>22</v>
      </c>
      <c r="Q85" s="5" t="s">
        <v>23</v>
      </c>
      <c r="R85" s="2" t="str">
        <f>""</f>
        <v/>
      </c>
      <c r="S85" s="11" t="s">
        <v>23</v>
      </c>
    </row>
    <row r="86" spans="1:19" ht="15.6" customHeight="1" thickTop="1" thickBot="1" x14ac:dyDescent="0.35">
      <c r="A86" s="3" t="s">
        <v>366</v>
      </c>
      <c r="B86" s="4" t="s">
        <v>367</v>
      </c>
      <c r="C86" s="4">
        <v>1603</v>
      </c>
      <c r="D86" s="5" t="s">
        <v>26</v>
      </c>
      <c r="E86" s="5" t="s">
        <v>17</v>
      </c>
      <c r="F86" s="6">
        <f>256-22</f>
        <v>234</v>
      </c>
      <c r="G86" s="7">
        <v>292</v>
      </c>
      <c r="H86" s="8" t="s">
        <v>18</v>
      </c>
      <c r="I86" s="2">
        <v>6068</v>
      </c>
      <c r="J86" s="9" t="s">
        <v>28</v>
      </c>
      <c r="K86" s="4" t="s">
        <v>368</v>
      </c>
      <c r="L86" s="4" t="s">
        <v>104</v>
      </c>
      <c r="M86" s="4" t="s">
        <v>104</v>
      </c>
      <c r="N86" s="10">
        <v>44641</v>
      </c>
      <c r="O86" s="5" t="s">
        <v>22</v>
      </c>
      <c r="P86" s="10" t="s">
        <v>22</v>
      </c>
      <c r="Q86" s="5" t="s">
        <v>23</v>
      </c>
      <c r="R86" s="2" t="str">
        <f>""</f>
        <v/>
      </c>
      <c r="S86" s="11" t="s">
        <v>23</v>
      </c>
    </row>
    <row r="87" spans="1:19" thickTop="1" thickBot="1" x14ac:dyDescent="0.35">
      <c r="A87" s="3" t="s">
        <v>369</v>
      </c>
      <c r="B87" s="4" t="s">
        <v>370</v>
      </c>
      <c r="C87" s="4">
        <v>1820</v>
      </c>
      <c r="D87" s="5" t="s">
        <v>41</v>
      </c>
      <c r="E87" s="5" t="s">
        <v>42</v>
      </c>
      <c r="F87" s="6">
        <f>328-228</f>
        <v>100</v>
      </c>
      <c r="G87" s="7">
        <f>484/4</f>
        <v>121</v>
      </c>
      <c r="H87" s="8" t="s">
        <v>18</v>
      </c>
      <c r="I87" s="2">
        <v>145</v>
      </c>
      <c r="J87" s="9" t="s">
        <v>41</v>
      </c>
      <c r="K87" s="4" t="s">
        <v>371</v>
      </c>
      <c r="L87" s="4" t="s">
        <v>372</v>
      </c>
      <c r="M87" s="2" t="str">
        <f>""</f>
        <v/>
      </c>
      <c r="N87" s="10">
        <v>44607</v>
      </c>
      <c r="O87" s="5" t="s">
        <v>22</v>
      </c>
      <c r="P87" s="10" t="s">
        <v>22</v>
      </c>
      <c r="Q87" s="5" t="s">
        <v>22</v>
      </c>
      <c r="R87" s="5" t="s">
        <v>22</v>
      </c>
      <c r="S87" s="11" t="s">
        <v>23</v>
      </c>
    </row>
    <row r="88" spans="1:19" thickTop="1" thickBot="1" x14ac:dyDescent="0.35">
      <c r="A88" s="3" t="s">
        <v>373</v>
      </c>
      <c r="B88" s="4" t="s">
        <v>25</v>
      </c>
      <c r="C88" s="4">
        <v>65</v>
      </c>
      <c r="D88" s="5" t="s">
        <v>26</v>
      </c>
      <c r="E88" s="5" t="s">
        <v>27</v>
      </c>
      <c r="F88" s="6">
        <f>269-190</f>
        <v>79</v>
      </c>
      <c r="G88" s="7">
        <v>110</v>
      </c>
      <c r="H88" s="8" t="s">
        <v>18</v>
      </c>
      <c r="I88" s="2">
        <v>7143</v>
      </c>
      <c r="J88" s="9" t="s">
        <v>28</v>
      </c>
      <c r="K88" s="4" t="s">
        <v>29</v>
      </c>
      <c r="L88" s="4" t="s">
        <v>30</v>
      </c>
      <c r="M88" s="4" t="s">
        <v>30</v>
      </c>
      <c r="N88" s="10">
        <v>44867</v>
      </c>
      <c r="O88" s="5" t="s">
        <v>23</v>
      </c>
      <c r="P88" s="10" t="s">
        <v>22</v>
      </c>
      <c r="Q88" s="5" t="s">
        <v>22</v>
      </c>
      <c r="R88" s="5" t="s">
        <v>23</v>
      </c>
      <c r="S88" s="11" t="s">
        <v>23</v>
      </c>
    </row>
    <row r="89" spans="1:19" thickTop="1" thickBot="1" x14ac:dyDescent="0.35">
      <c r="A89" s="3" t="s">
        <v>374</v>
      </c>
      <c r="B89" s="4" t="s">
        <v>25</v>
      </c>
      <c r="C89" s="4">
        <v>65</v>
      </c>
      <c r="D89" s="5" t="s">
        <v>26</v>
      </c>
      <c r="E89" s="5" t="s">
        <v>27</v>
      </c>
      <c r="F89" s="6">
        <f>387-278</f>
        <v>109</v>
      </c>
      <c r="G89" s="7">
        <v>110</v>
      </c>
      <c r="H89" s="8" t="s">
        <v>18</v>
      </c>
      <c r="I89" s="2">
        <v>7143</v>
      </c>
      <c r="J89" s="9" t="s">
        <v>28</v>
      </c>
      <c r="K89" s="4" t="s">
        <v>29</v>
      </c>
      <c r="L89" s="4" t="s">
        <v>30</v>
      </c>
      <c r="M89" s="4" t="s">
        <v>30</v>
      </c>
      <c r="N89" s="10">
        <v>44867</v>
      </c>
      <c r="O89" s="5" t="s">
        <v>23</v>
      </c>
      <c r="P89" s="10" t="s">
        <v>22</v>
      </c>
      <c r="Q89" s="5" t="s">
        <v>22</v>
      </c>
      <c r="R89" s="5" t="s">
        <v>22</v>
      </c>
      <c r="S89" s="11" t="s">
        <v>23</v>
      </c>
    </row>
    <row r="90" spans="1:19" thickTop="1" thickBot="1" x14ac:dyDescent="0.35">
      <c r="A90" s="3" t="s">
        <v>375</v>
      </c>
      <c r="B90" s="4" t="s">
        <v>151</v>
      </c>
      <c r="C90" s="4">
        <v>1830</v>
      </c>
      <c r="D90" s="5" t="s">
        <v>26</v>
      </c>
      <c r="E90" s="5" t="s">
        <v>42</v>
      </c>
      <c r="F90" s="6">
        <f>207-28</f>
        <v>179</v>
      </c>
      <c r="G90" s="7">
        <v>292</v>
      </c>
      <c r="H90" s="8" t="s">
        <v>18</v>
      </c>
      <c r="I90" s="2">
        <v>1494</v>
      </c>
      <c r="J90" s="9" t="s">
        <v>35</v>
      </c>
      <c r="K90" s="4" t="s">
        <v>376</v>
      </c>
      <c r="L90" s="4" t="s">
        <v>377</v>
      </c>
      <c r="M90" s="2" t="str">
        <f>""</f>
        <v/>
      </c>
      <c r="N90" s="2" t="str">
        <f>""</f>
        <v/>
      </c>
      <c r="O90" s="5" t="s">
        <v>22</v>
      </c>
      <c r="P90" s="10" t="s">
        <v>22</v>
      </c>
      <c r="Q90" s="5" t="s">
        <v>22</v>
      </c>
      <c r="R90" s="5" t="s">
        <v>23</v>
      </c>
      <c r="S90" s="11" t="s">
        <v>23</v>
      </c>
    </row>
    <row r="91" spans="1:19" thickTop="1" thickBot="1" x14ac:dyDescent="0.35">
      <c r="A91" s="3" t="s">
        <v>378</v>
      </c>
      <c r="B91" s="4" t="s">
        <v>102</v>
      </c>
      <c r="C91" s="4">
        <v>1899</v>
      </c>
      <c r="D91" s="5" t="s">
        <v>41</v>
      </c>
      <c r="E91" s="5" t="s">
        <v>42</v>
      </c>
      <c r="F91" s="6">
        <f>86-74</f>
        <v>12</v>
      </c>
      <c r="G91" s="7">
        <f>340/3</f>
        <v>113.33333333333333</v>
      </c>
      <c r="H91" s="8" t="s">
        <v>18</v>
      </c>
      <c r="I91" s="2">
        <v>261</v>
      </c>
      <c r="J91" s="9" t="s">
        <v>41</v>
      </c>
      <c r="K91" s="4" t="s">
        <v>103</v>
      </c>
      <c r="L91" s="4" t="s">
        <v>104</v>
      </c>
      <c r="M91" s="2" t="str">
        <f>""</f>
        <v/>
      </c>
      <c r="N91" s="10">
        <v>44686</v>
      </c>
      <c r="O91" s="5" t="s">
        <v>22</v>
      </c>
      <c r="P91" s="10" t="s">
        <v>22</v>
      </c>
      <c r="Q91" s="5" t="s">
        <v>23</v>
      </c>
      <c r="R91" s="2" t="str">
        <f>""</f>
        <v/>
      </c>
      <c r="S91" s="11" t="s">
        <v>23</v>
      </c>
    </row>
    <row r="92" spans="1:19" thickTop="1" thickBot="1" x14ac:dyDescent="0.35">
      <c r="A92" s="3" t="s">
        <v>379</v>
      </c>
      <c r="B92" s="4" t="s">
        <v>380</v>
      </c>
      <c r="C92" s="4">
        <v>1950</v>
      </c>
      <c r="D92" s="5" t="s">
        <v>111</v>
      </c>
      <c r="E92" s="5" t="s">
        <v>49</v>
      </c>
      <c r="F92" s="6">
        <v>637</v>
      </c>
      <c r="G92" s="7">
        <v>692</v>
      </c>
      <c r="H92" s="8" t="s">
        <v>381</v>
      </c>
      <c r="I92" s="2" t="str">
        <f>""</f>
        <v/>
      </c>
      <c r="J92" s="2" t="str">
        <f>""</f>
        <v/>
      </c>
      <c r="K92" s="4" t="s">
        <v>382</v>
      </c>
      <c r="L92" s="2" t="str">
        <f>""</f>
        <v/>
      </c>
      <c r="M92" s="4" t="s">
        <v>383</v>
      </c>
      <c r="N92" s="2" t="str">
        <f>""</f>
        <v/>
      </c>
      <c r="O92" s="5" t="s">
        <v>22</v>
      </c>
      <c r="P92" s="10" t="s">
        <v>22</v>
      </c>
      <c r="Q92" s="5" t="s">
        <v>22</v>
      </c>
      <c r="R92" s="5" t="s">
        <v>22</v>
      </c>
      <c r="S92" s="11" t="s">
        <v>23</v>
      </c>
    </row>
    <row r="93" spans="1:19" thickTop="1" thickBot="1" x14ac:dyDescent="0.35">
      <c r="A93" s="3" t="s">
        <v>384</v>
      </c>
      <c r="B93" s="4" t="s">
        <v>203</v>
      </c>
      <c r="C93" s="4">
        <v>-343</v>
      </c>
      <c r="D93" s="5" t="s">
        <v>33</v>
      </c>
      <c r="E93" s="5" t="s">
        <v>78</v>
      </c>
      <c r="F93" s="6">
        <f>646-86</f>
        <v>560</v>
      </c>
      <c r="G93" s="7">
        <v>678</v>
      </c>
      <c r="H93" s="8" t="s">
        <v>18</v>
      </c>
      <c r="I93" s="2">
        <v>1590</v>
      </c>
      <c r="J93" s="9" t="s">
        <v>35</v>
      </c>
      <c r="K93" s="4" t="s">
        <v>385</v>
      </c>
      <c r="L93" s="4" t="s">
        <v>386</v>
      </c>
      <c r="M93" s="4" t="s">
        <v>386</v>
      </c>
      <c r="N93" s="2" t="str">
        <f>""</f>
        <v/>
      </c>
      <c r="O93" s="5" t="s">
        <v>22</v>
      </c>
      <c r="P93" s="10" t="s">
        <v>22</v>
      </c>
      <c r="Q93" s="5" t="s">
        <v>22</v>
      </c>
      <c r="R93" s="5" t="s">
        <v>23</v>
      </c>
      <c r="S93" s="11" t="s">
        <v>23</v>
      </c>
    </row>
    <row r="94" spans="1:19" thickTop="1" thickBot="1" x14ac:dyDescent="0.35">
      <c r="A94" s="3" t="s">
        <v>387</v>
      </c>
      <c r="B94" s="4" t="s">
        <v>388</v>
      </c>
      <c r="C94" s="4">
        <v>1856</v>
      </c>
      <c r="D94" s="5" t="s">
        <v>389</v>
      </c>
      <c r="E94" s="5" t="s">
        <v>49</v>
      </c>
      <c r="F94" s="6">
        <f>439-42</f>
        <v>397</v>
      </c>
      <c r="G94" s="7">
        <v>452</v>
      </c>
      <c r="H94" s="8" t="s">
        <v>60</v>
      </c>
      <c r="I94" s="2">
        <v>604</v>
      </c>
      <c r="J94" s="9" t="s">
        <v>72</v>
      </c>
      <c r="K94" s="4" t="s">
        <v>390</v>
      </c>
      <c r="L94" s="4" t="s">
        <v>391</v>
      </c>
      <c r="M94" s="4" t="s">
        <v>275</v>
      </c>
      <c r="N94" s="10">
        <v>43983</v>
      </c>
      <c r="O94" s="5" t="s">
        <v>22</v>
      </c>
      <c r="P94" s="10" t="s">
        <v>22</v>
      </c>
      <c r="Q94" s="5" t="s">
        <v>23</v>
      </c>
      <c r="R94" s="2" t="str">
        <f>""</f>
        <v/>
      </c>
      <c r="S94" s="11" t="s">
        <v>23</v>
      </c>
    </row>
    <row r="95" spans="1:19" thickTop="1" thickBot="1" x14ac:dyDescent="0.35">
      <c r="A95" s="3" t="s">
        <v>392</v>
      </c>
      <c r="B95" s="4" t="s">
        <v>393</v>
      </c>
      <c r="C95" s="4">
        <v>1640</v>
      </c>
      <c r="D95" s="5" t="s">
        <v>26</v>
      </c>
      <c r="E95" s="5" t="s">
        <v>42</v>
      </c>
      <c r="F95" s="6">
        <f>139-66</f>
        <v>73</v>
      </c>
      <c r="G95" s="7">
        <v>226</v>
      </c>
      <c r="H95" s="8" t="s">
        <v>18</v>
      </c>
      <c r="I95" s="2">
        <v>1322</v>
      </c>
      <c r="J95" s="9" t="s">
        <v>35</v>
      </c>
      <c r="K95" s="4" t="s">
        <v>394</v>
      </c>
      <c r="L95" s="4" t="s">
        <v>395</v>
      </c>
      <c r="M95" s="2" t="str">
        <f>""</f>
        <v/>
      </c>
      <c r="N95" s="10">
        <v>44075</v>
      </c>
      <c r="O95" s="5" t="s">
        <v>22</v>
      </c>
      <c r="P95" s="10" t="s">
        <v>22</v>
      </c>
      <c r="Q95" s="5" t="s">
        <v>23</v>
      </c>
      <c r="R95" s="2" t="str">
        <f>""</f>
        <v/>
      </c>
      <c r="S95" s="11" t="s">
        <v>23</v>
      </c>
    </row>
    <row r="96" spans="1:19" thickTop="1" thickBot="1" x14ac:dyDescent="0.35">
      <c r="A96" s="3" t="s">
        <v>396</v>
      </c>
      <c r="B96" s="4" t="s">
        <v>115</v>
      </c>
      <c r="C96" s="4">
        <v>-600</v>
      </c>
      <c r="D96" s="5" t="s">
        <v>41</v>
      </c>
      <c r="E96" s="5" t="s">
        <v>78</v>
      </c>
      <c r="F96" s="6">
        <f>339-174</f>
        <v>165</v>
      </c>
      <c r="G96" s="7">
        <v>105</v>
      </c>
      <c r="H96" s="8" t="s">
        <v>18</v>
      </c>
      <c r="I96" s="2">
        <v>3467</v>
      </c>
      <c r="J96" s="9" t="s">
        <v>28</v>
      </c>
      <c r="K96" s="4" t="s">
        <v>116</v>
      </c>
      <c r="L96" s="4" t="s">
        <v>117</v>
      </c>
      <c r="M96" s="4" t="s">
        <v>117</v>
      </c>
      <c r="N96" s="10">
        <v>44152</v>
      </c>
      <c r="O96" s="5" t="s">
        <v>22</v>
      </c>
      <c r="P96" s="10" t="s">
        <v>22</v>
      </c>
      <c r="Q96" s="5" t="s">
        <v>23</v>
      </c>
      <c r="R96" s="2" t="str">
        <f>""</f>
        <v/>
      </c>
      <c r="S96" s="11" t="s">
        <v>23</v>
      </c>
    </row>
    <row r="97" spans="1:19" thickTop="1" thickBot="1" x14ac:dyDescent="0.35">
      <c r="A97" s="3" t="s">
        <v>397</v>
      </c>
      <c r="B97" s="4" t="s">
        <v>398</v>
      </c>
      <c r="C97" s="4">
        <v>-720</v>
      </c>
      <c r="D97" s="5" t="s">
        <v>41</v>
      </c>
      <c r="E97" s="5" t="s">
        <v>78</v>
      </c>
      <c r="F97" s="6">
        <f>418-22</f>
        <v>396</v>
      </c>
      <c r="G97" s="7">
        <v>516</v>
      </c>
      <c r="H97" s="8" t="s">
        <v>18</v>
      </c>
      <c r="I97" s="2">
        <v>1512</v>
      </c>
      <c r="J97" s="9" t="s">
        <v>35</v>
      </c>
      <c r="K97" s="4" t="s">
        <v>399</v>
      </c>
      <c r="L97" s="4" t="s">
        <v>400</v>
      </c>
      <c r="M97" s="4" t="s">
        <v>401</v>
      </c>
      <c r="N97" s="2" t="str">
        <f>""</f>
        <v/>
      </c>
      <c r="O97" s="5" t="s">
        <v>22</v>
      </c>
      <c r="P97" s="10" t="s">
        <v>22</v>
      </c>
      <c r="Q97" s="5" t="s">
        <v>22</v>
      </c>
      <c r="R97" s="5" t="s">
        <v>23</v>
      </c>
      <c r="S97" s="11" t="s">
        <v>22</v>
      </c>
    </row>
    <row r="98" spans="1:19" thickTop="1" thickBot="1" x14ac:dyDescent="0.35">
      <c r="A98" s="3" t="s">
        <v>402</v>
      </c>
      <c r="B98" s="4" t="s">
        <v>214</v>
      </c>
      <c r="C98" s="4">
        <v>1895</v>
      </c>
      <c r="D98" s="5" t="s">
        <v>41</v>
      </c>
      <c r="E98" s="5" t="s">
        <v>42</v>
      </c>
      <c r="F98" s="6">
        <f>295-254</f>
        <v>41</v>
      </c>
      <c r="G98" s="7">
        <f>476/13</f>
        <v>36.615384615384613</v>
      </c>
      <c r="H98" s="8" t="s">
        <v>18</v>
      </c>
      <c r="I98" s="2">
        <v>1459</v>
      </c>
      <c r="J98" s="9" t="s">
        <v>35</v>
      </c>
      <c r="K98" s="4" t="s">
        <v>215</v>
      </c>
      <c r="L98" s="4" t="s">
        <v>216</v>
      </c>
      <c r="M98" s="2" t="str">
        <f>""</f>
        <v/>
      </c>
      <c r="N98" s="2" t="str">
        <f>""</f>
        <v/>
      </c>
      <c r="O98" s="5" t="s">
        <v>23</v>
      </c>
      <c r="P98" s="10" t="s">
        <v>22</v>
      </c>
      <c r="Q98" s="5" t="s">
        <v>22</v>
      </c>
      <c r="R98" s="5" t="s">
        <v>22</v>
      </c>
      <c r="S98" s="11" t="s">
        <v>23</v>
      </c>
    </row>
    <row r="99" spans="1:19" thickTop="1" thickBot="1" x14ac:dyDescent="0.35">
      <c r="A99" s="3" t="s">
        <v>403</v>
      </c>
      <c r="B99" s="4" t="s">
        <v>314</v>
      </c>
      <c r="C99" s="4">
        <v>1843</v>
      </c>
      <c r="D99" s="5" t="s">
        <v>16</v>
      </c>
      <c r="E99" s="5" t="s">
        <v>42</v>
      </c>
      <c r="F99" s="6">
        <f>822-34</f>
        <v>788</v>
      </c>
      <c r="G99" s="7">
        <v>868</v>
      </c>
      <c r="H99" s="8" t="s">
        <v>60</v>
      </c>
      <c r="I99" s="2">
        <v>21017</v>
      </c>
      <c r="J99" s="9" t="s">
        <v>72</v>
      </c>
      <c r="K99" s="4" t="s">
        <v>404</v>
      </c>
      <c r="L99" s="4" t="s">
        <v>405</v>
      </c>
      <c r="M99" s="2" t="str">
        <f>""</f>
        <v/>
      </c>
      <c r="N99" s="10">
        <v>44562</v>
      </c>
      <c r="O99" s="5" t="s">
        <v>22</v>
      </c>
      <c r="P99" s="10" t="s">
        <v>22</v>
      </c>
      <c r="Q99" s="5" t="s">
        <v>23</v>
      </c>
      <c r="R99" s="2" t="str">
        <f>""</f>
        <v/>
      </c>
      <c r="S99" s="11" t="s">
        <v>22</v>
      </c>
    </row>
    <row r="100" spans="1:19" thickTop="1" thickBot="1" x14ac:dyDescent="0.35">
      <c r="A100" s="3" t="s">
        <v>406</v>
      </c>
      <c r="B100" s="4" t="s">
        <v>58</v>
      </c>
      <c r="C100" s="4">
        <v>2013</v>
      </c>
      <c r="D100" s="5" t="s">
        <v>48</v>
      </c>
      <c r="E100" s="5" t="s">
        <v>49</v>
      </c>
      <c r="F100" s="6">
        <v>606</v>
      </c>
      <c r="G100" s="7">
        <v>628</v>
      </c>
      <c r="H100" s="8" t="s">
        <v>59</v>
      </c>
      <c r="I100" s="2">
        <v>33364</v>
      </c>
      <c r="J100" s="9" t="s">
        <v>60</v>
      </c>
      <c r="K100" s="4" t="s">
        <v>407</v>
      </c>
      <c r="L100" s="2" t="str">
        <f>""</f>
        <v/>
      </c>
      <c r="M100" s="4" t="s">
        <v>335</v>
      </c>
      <c r="N100" s="10">
        <v>42408</v>
      </c>
      <c r="O100" s="5" t="s">
        <v>22</v>
      </c>
      <c r="P100" s="10" t="s">
        <v>22</v>
      </c>
      <c r="Q100" s="5" t="s">
        <v>22</v>
      </c>
      <c r="R100" s="5" t="s">
        <v>22</v>
      </c>
      <c r="S100" s="11" t="s">
        <v>23</v>
      </c>
    </row>
    <row r="101" spans="1:19" thickTop="1" thickBot="1" x14ac:dyDescent="0.35">
      <c r="A101" s="3" t="s">
        <v>408</v>
      </c>
      <c r="B101" s="4" t="s">
        <v>304</v>
      </c>
      <c r="C101" s="4">
        <v>1796</v>
      </c>
      <c r="D101" s="5" t="s">
        <v>16</v>
      </c>
      <c r="E101" s="5" t="s">
        <v>42</v>
      </c>
      <c r="F101" s="6">
        <f>304-38</f>
        <v>266</v>
      </c>
      <c r="G101" s="7">
        <v>360</v>
      </c>
      <c r="H101" s="8" t="s">
        <v>18</v>
      </c>
      <c r="I101" s="2">
        <v>1310</v>
      </c>
      <c r="J101" s="9" t="s">
        <v>35</v>
      </c>
      <c r="K101" s="4" t="s">
        <v>409</v>
      </c>
      <c r="L101" s="4" t="s">
        <v>410</v>
      </c>
      <c r="M101" s="2" t="str">
        <f>""</f>
        <v/>
      </c>
      <c r="N101" s="10">
        <v>44774</v>
      </c>
      <c r="O101" s="5" t="s">
        <v>22</v>
      </c>
      <c r="P101" s="10" t="s">
        <v>22</v>
      </c>
      <c r="Q101" s="5" t="s">
        <v>23</v>
      </c>
      <c r="R101" s="2" t="str">
        <f>""</f>
        <v/>
      </c>
      <c r="S101" s="11" t="s">
        <v>23</v>
      </c>
    </row>
    <row r="102" spans="1:19" thickTop="1" thickBot="1" x14ac:dyDescent="0.35">
      <c r="A102" s="3" t="s">
        <v>411</v>
      </c>
      <c r="B102" s="4" t="s">
        <v>175</v>
      </c>
      <c r="C102" s="4">
        <v>1866</v>
      </c>
      <c r="D102" s="5" t="s">
        <v>16</v>
      </c>
      <c r="E102" s="5" t="s">
        <v>71</v>
      </c>
      <c r="F102" s="6">
        <v>73</v>
      </c>
      <c r="G102" s="7">
        <f>902/2</f>
        <v>451</v>
      </c>
      <c r="H102" s="8" t="s">
        <v>18</v>
      </c>
      <c r="I102" s="2">
        <v>2661</v>
      </c>
      <c r="J102" s="9" t="s">
        <v>28</v>
      </c>
      <c r="K102" s="4" t="s">
        <v>176</v>
      </c>
      <c r="L102" s="4" t="s">
        <v>177</v>
      </c>
      <c r="M102" s="4" t="s">
        <v>412</v>
      </c>
      <c r="N102" s="10">
        <v>44649</v>
      </c>
      <c r="O102" s="5" t="s">
        <v>22</v>
      </c>
      <c r="P102" s="10" t="s">
        <v>22</v>
      </c>
      <c r="Q102" s="5" t="s">
        <v>22</v>
      </c>
      <c r="R102" s="5" t="s">
        <v>22</v>
      </c>
      <c r="S102" s="11" t="s">
        <v>23</v>
      </c>
    </row>
    <row r="103" spans="1:19" thickTop="1" thickBot="1" x14ac:dyDescent="0.35">
      <c r="A103" s="3" t="s">
        <v>413</v>
      </c>
      <c r="B103" s="4" t="s">
        <v>414</v>
      </c>
      <c r="C103" s="4">
        <v>1924</v>
      </c>
      <c r="D103" s="5" t="s">
        <v>26</v>
      </c>
      <c r="E103" s="5" t="s">
        <v>42</v>
      </c>
      <c r="F103" s="6">
        <f>152-4</f>
        <v>148</v>
      </c>
      <c r="G103" s="7">
        <v>164</v>
      </c>
      <c r="H103" s="8" t="s">
        <v>18</v>
      </c>
      <c r="I103" s="2">
        <v>60</v>
      </c>
      <c r="J103" s="9" t="s">
        <v>19</v>
      </c>
      <c r="K103" s="4" t="s">
        <v>415</v>
      </c>
      <c r="L103" s="2" t="str">
        <f>""</f>
        <v/>
      </c>
      <c r="M103" s="2" t="str">
        <f>""</f>
        <v/>
      </c>
      <c r="N103" s="10">
        <v>42990</v>
      </c>
      <c r="O103" s="5" t="s">
        <v>22</v>
      </c>
      <c r="P103" s="10" t="s">
        <v>22</v>
      </c>
      <c r="Q103" s="5" t="s">
        <v>22</v>
      </c>
      <c r="R103" s="5" t="s">
        <v>23</v>
      </c>
      <c r="S103" s="11" t="s">
        <v>23</v>
      </c>
    </row>
    <row r="104" spans="1:19" thickTop="1" thickBot="1" x14ac:dyDescent="0.35">
      <c r="A104" s="3" t="s">
        <v>416</v>
      </c>
      <c r="B104" s="4" t="s">
        <v>98</v>
      </c>
      <c r="C104" s="4">
        <v>1890</v>
      </c>
      <c r="D104" s="5" t="s">
        <v>16</v>
      </c>
      <c r="E104" s="5" t="s">
        <v>42</v>
      </c>
      <c r="F104" s="6">
        <f>427-32</f>
        <v>395</v>
      </c>
      <c r="G104" s="7">
        <v>516</v>
      </c>
      <c r="H104" s="8" t="s">
        <v>60</v>
      </c>
      <c r="I104" s="2">
        <v>7</v>
      </c>
      <c r="J104" s="9" t="s">
        <v>72</v>
      </c>
      <c r="K104" s="4" t="s">
        <v>417</v>
      </c>
      <c r="L104" s="4" t="s">
        <v>418</v>
      </c>
      <c r="M104" s="2" t="str">
        <f>""</f>
        <v/>
      </c>
      <c r="N104" s="13">
        <v>44197</v>
      </c>
      <c r="O104" s="5" t="s">
        <v>22</v>
      </c>
      <c r="P104" s="10" t="s">
        <v>22</v>
      </c>
      <c r="Q104" s="5" t="s">
        <v>23</v>
      </c>
      <c r="R104" s="2" t="str">
        <f>""</f>
        <v/>
      </c>
      <c r="S104" s="11" t="s">
        <v>23</v>
      </c>
    </row>
    <row r="105" spans="1:19" thickTop="1" thickBot="1" x14ac:dyDescent="0.35">
      <c r="A105" s="3" t="s">
        <v>419</v>
      </c>
      <c r="B105" s="2" t="s">
        <v>420</v>
      </c>
      <c r="C105" s="2">
        <v>100</v>
      </c>
      <c r="D105" s="5" t="s">
        <v>421</v>
      </c>
      <c r="E105" s="5" t="s">
        <v>27</v>
      </c>
      <c r="F105" s="6">
        <f>2084-32</f>
        <v>2052</v>
      </c>
      <c r="G105" s="7">
        <v>2100</v>
      </c>
      <c r="H105" s="8" t="str">
        <f>""</f>
        <v/>
      </c>
      <c r="I105" s="2" t="str">
        <f>""</f>
        <v/>
      </c>
      <c r="J105" s="2" t="str">
        <f>""</f>
        <v/>
      </c>
      <c r="K105" s="4" t="s">
        <v>422</v>
      </c>
      <c r="L105" s="2" t="str">
        <f>""</f>
        <v/>
      </c>
      <c r="M105" s="2" t="str">
        <f>""</f>
        <v/>
      </c>
      <c r="N105" s="13">
        <v>45139</v>
      </c>
      <c r="O105" s="5" t="s">
        <v>22</v>
      </c>
      <c r="P105" s="10" t="s">
        <v>22</v>
      </c>
      <c r="Q105" s="5" t="s">
        <v>23</v>
      </c>
      <c r="R105" s="2" t="str">
        <f>""</f>
        <v/>
      </c>
      <c r="S105" s="11" t="s">
        <v>23</v>
      </c>
    </row>
    <row r="106" spans="1:19" thickTop="1" thickBot="1" x14ac:dyDescent="0.35">
      <c r="A106" s="3" t="s">
        <v>423</v>
      </c>
      <c r="B106" s="4" t="s">
        <v>25</v>
      </c>
      <c r="C106" s="4">
        <v>49</v>
      </c>
      <c r="D106" s="5" t="s">
        <v>33</v>
      </c>
      <c r="E106" s="5" t="s">
        <v>27</v>
      </c>
      <c r="F106" s="6">
        <f>139-98</f>
        <v>41</v>
      </c>
      <c r="G106" s="7">
        <f>164/2</f>
        <v>82</v>
      </c>
      <c r="H106" s="8" t="s">
        <v>18</v>
      </c>
      <c r="I106" s="2">
        <v>1244</v>
      </c>
      <c r="J106" s="9" t="s">
        <v>35</v>
      </c>
      <c r="K106" s="4" t="s">
        <v>424</v>
      </c>
      <c r="L106" s="4" t="s">
        <v>386</v>
      </c>
      <c r="M106" s="4" t="s">
        <v>386</v>
      </c>
      <c r="N106" s="2" t="str">
        <f>""</f>
        <v/>
      </c>
      <c r="O106" s="5" t="s">
        <v>23</v>
      </c>
      <c r="P106" s="10" t="s">
        <v>22</v>
      </c>
      <c r="Q106" s="5" t="s">
        <v>22</v>
      </c>
      <c r="R106" s="5" t="s">
        <v>23</v>
      </c>
      <c r="S106" s="11" t="s">
        <v>23</v>
      </c>
    </row>
    <row r="107" spans="1:19" thickTop="1" thickBot="1" x14ac:dyDescent="0.35">
      <c r="A107" s="3" t="s">
        <v>425</v>
      </c>
      <c r="B107" s="4" t="s">
        <v>426</v>
      </c>
      <c r="C107" s="4">
        <v>1000</v>
      </c>
      <c r="D107" s="5" t="s">
        <v>41</v>
      </c>
      <c r="E107" s="5" t="s">
        <v>42</v>
      </c>
      <c r="F107" s="6">
        <v>117</v>
      </c>
      <c r="G107" s="7">
        <v>292</v>
      </c>
      <c r="H107" s="8" t="s">
        <v>60</v>
      </c>
      <c r="I107" s="2">
        <v>4524</v>
      </c>
      <c r="J107" s="9" t="s">
        <v>427</v>
      </c>
      <c r="K107" s="4" t="s">
        <v>428</v>
      </c>
      <c r="L107" s="4" t="s">
        <v>429</v>
      </c>
      <c r="M107" s="2" t="str">
        <f>""</f>
        <v/>
      </c>
      <c r="N107" s="13">
        <v>37956</v>
      </c>
      <c r="O107" s="5" t="s">
        <v>22</v>
      </c>
      <c r="P107" s="10" t="s">
        <v>22</v>
      </c>
      <c r="Q107" s="5" t="s">
        <v>23</v>
      </c>
      <c r="R107" s="2" t="str">
        <f>""</f>
        <v/>
      </c>
      <c r="S107" s="11" t="s">
        <v>22</v>
      </c>
    </row>
    <row r="108" spans="1:19" thickTop="1" thickBot="1" x14ac:dyDescent="0.35">
      <c r="A108" s="3" t="s">
        <v>430</v>
      </c>
      <c r="B108" s="4" t="s">
        <v>98</v>
      </c>
      <c r="C108" s="4">
        <v>1874</v>
      </c>
      <c r="D108" s="5" t="s">
        <v>16</v>
      </c>
      <c r="E108" s="5" t="s">
        <v>42</v>
      </c>
      <c r="F108" s="6">
        <f>443-30</f>
        <v>413</v>
      </c>
      <c r="G108" s="7">
        <v>516</v>
      </c>
      <c r="H108" s="8" t="s">
        <v>60</v>
      </c>
      <c r="I108" s="2">
        <v>384</v>
      </c>
      <c r="J108" s="9" t="s">
        <v>72</v>
      </c>
      <c r="K108" s="4" t="s">
        <v>431</v>
      </c>
      <c r="L108" s="4" t="s">
        <v>354</v>
      </c>
      <c r="M108" s="2" t="str">
        <f>""</f>
        <v/>
      </c>
      <c r="N108" s="10">
        <v>45139</v>
      </c>
      <c r="O108" s="5" t="s">
        <v>22</v>
      </c>
      <c r="P108" s="10" t="s">
        <v>22</v>
      </c>
      <c r="Q108" s="5" t="s">
        <v>23</v>
      </c>
      <c r="R108" s="2" t="str">
        <f>""</f>
        <v/>
      </c>
      <c r="S108" s="11" t="s">
        <v>23</v>
      </c>
    </row>
    <row r="109" spans="1:19" thickTop="1" thickBot="1" x14ac:dyDescent="0.35">
      <c r="A109" s="3" t="s">
        <v>432</v>
      </c>
      <c r="B109" s="4" t="s">
        <v>98</v>
      </c>
      <c r="C109" s="4">
        <v>1871</v>
      </c>
      <c r="D109" s="5" t="s">
        <v>16</v>
      </c>
      <c r="E109" s="5" t="s">
        <v>42</v>
      </c>
      <c r="F109" s="6">
        <f>398-48</f>
        <v>350</v>
      </c>
      <c r="G109" s="7">
        <v>468</v>
      </c>
      <c r="H109" s="8" t="s">
        <v>18</v>
      </c>
      <c r="I109" s="2">
        <v>1552</v>
      </c>
      <c r="J109" s="9" t="s">
        <v>35</v>
      </c>
      <c r="K109" s="4" t="s">
        <v>433</v>
      </c>
      <c r="L109" s="4" t="s">
        <v>434</v>
      </c>
      <c r="M109" s="2" t="str">
        <f>""</f>
        <v/>
      </c>
      <c r="N109" s="2" t="str">
        <f>""</f>
        <v/>
      </c>
      <c r="O109" s="5" t="s">
        <v>22</v>
      </c>
      <c r="P109" s="10" t="s">
        <v>22</v>
      </c>
      <c r="Q109" s="5" t="s">
        <v>22</v>
      </c>
      <c r="R109" s="5" t="s">
        <v>23</v>
      </c>
      <c r="S109" s="11" t="s">
        <v>22</v>
      </c>
    </row>
    <row r="110" spans="1:19" thickTop="1" thickBot="1" x14ac:dyDescent="0.35">
      <c r="A110" s="3" t="s">
        <v>435</v>
      </c>
      <c r="B110" s="4" t="s">
        <v>436</v>
      </c>
      <c r="C110" s="4">
        <v>1848</v>
      </c>
      <c r="D110" s="5" t="s">
        <v>16</v>
      </c>
      <c r="E110" s="5" t="s">
        <v>42</v>
      </c>
      <c r="F110" s="6">
        <f>310-12</f>
        <v>298</v>
      </c>
      <c r="G110" s="7">
        <v>386</v>
      </c>
      <c r="H110" s="8" t="s">
        <v>18</v>
      </c>
      <c r="I110" s="2">
        <v>704</v>
      </c>
      <c r="J110" s="9" t="s">
        <v>28</v>
      </c>
      <c r="K110" s="4" t="s">
        <v>437</v>
      </c>
      <c r="L110" s="4" t="s">
        <v>74</v>
      </c>
      <c r="N110" s="15">
        <v>45600</v>
      </c>
      <c r="O110" s="5" t="s">
        <v>22</v>
      </c>
      <c r="P110" s="5" t="s">
        <v>22</v>
      </c>
      <c r="Q110" s="16" t="s">
        <v>23</v>
      </c>
      <c r="S110" s="11" t="s">
        <v>23</v>
      </c>
    </row>
    <row r="111" spans="1:19" thickTop="1" thickBot="1" x14ac:dyDescent="0.35">
      <c r="A111" s="3" t="s">
        <v>438</v>
      </c>
      <c r="B111" s="4" t="s">
        <v>439</v>
      </c>
      <c r="C111" s="4">
        <v>1321</v>
      </c>
      <c r="D111" s="5" t="s">
        <v>41</v>
      </c>
      <c r="E111" s="5" t="s">
        <v>133</v>
      </c>
      <c r="F111" s="6">
        <f>506-6</f>
        <v>500</v>
      </c>
      <c r="G111" s="7">
        <f>634+41</f>
        <v>675</v>
      </c>
      <c r="H111" s="8" t="s">
        <v>18</v>
      </c>
      <c r="I111" s="2">
        <v>1461</v>
      </c>
      <c r="J111" s="9" t="s">
        <v>35</v>
      </c>
      <c r="K111" s="4" t="s">
        <v>440</v>
      </c>
      <c r="L111" s="4" t="s">
        <v>441</v>
      </c>
      <c r="M111" s="2" t="s">
        <v>441</v>
      </c>
      <c r="N111" s="5" t="str">
        <f>""</f>
        <v/>
      </c>
      <c r="O111" s="5" t="s">
        <v>22</v>
      </c>
      <c r="P111" s="10" t="s">
        <v>22</v>
      </c>
      <c r="Q111" s="5" t="s">
        <v>22</v>
      </c>
      <c r="R111" s="5" t="s">
        <v>22</v>
      </c>
      <c r="S111" s="11" t="s">
        <v>22</v>
      </c>
    </row>
    <row r="112" spans="1:19" thickTop="1" thickBot="1" x14ac:dyDescent="0.35">
      <c r="A112" s="3" t="s">
        <v>442</v>
      </c>
      <c r="B112" s="4" t="s">
        <v>443</v>
      </c>
      <c r="C112" s="4">
        <v>1723</v>
      </c>
      <c r="D112" s="5" t="s">
        <v>26</v>
      </c>
      <c r="E112" s="5" t="s">
        <v>42</v>
      </c>
      <c r="F112" s="6">
        <f>101-18</f>
        <v>83</v>
      </c>
      <c r="G112" s="7">
        <v>168</v>
      </c>
      <c r="H112" s="8" t="s">
        <v>18</v>
      </c>
      <c r="I112" s="2">
        <v>952</v>
      </c>
      <c r="J112" s="9" t="s">
        <v>35</v>
      </c>
      <c r="K112" s="4" t="s">
        <v>444</v>
      </c>
      <c r="L112" s="4" t="s">
        <v>445</v>
      </c>
      <c r="M112" s="2" t="str">
        <f>""</f>
        <v/>
      </c>
      <c r="N112" s="10">
        <v>45078</v>
      </c>
      <c r="O112" s="5" t="s">
        <v>22</v>
      </c>
      <c r="P112" s="10" t="s">
        <v>22</v>
      </c>
      <c r="Q112" s="5" t="s">
        <v>22</v>
      </c>
      <c r="R112" s="2" t="s">
        <v>23</v>
      </c>
      <c r="S112" s="11" t="s">
        <v>23</v>
      </c>
    </row>
    <row r="113" spans="1:19" thickTop="1" thickBot="1" x14ac:dyDescent="0.35">
      <c r="A113" s="3" t="s">
        <v>446</v>
      </c>
      <c r="B113" s="4" t="s">
        <v>98</v>
      </c>
      <c r="C113" s="4">
        <v>1875</v>
      </c>
      <c r="D113" s="5" t="s">
        <v>16</v>
      </c>
      <c r="E113" s="5" t="s">
        <v>42</v>
      </c>
      <c r="F113" s="6">
        <f>566-66</f>
        <v>500</v>
      </c>
      <c r="G113" s="7">
        <v>676</v>
      </c>
      <c r="H113" s="8" t="s">
        <v>60</v>
      </c>
      <c r="I113" s="2">
        <v>69</v>
      </c>
      <c r="J113" s="9" t="s">
        <v>72</v>
      </c>
      <c r="K113" s="4" t="s">
        <v>447</v>
      </c>
      <c r="L113" s="4" t="s">
        <v>100</v>
      </c>
      <c r="M113" s="4" t="str">
        <f>""</f>
        <v/>
      </c>
      <c r="N113" s="10">
        <v>45078</v>
      </c>
      <c r="O113" s="5" t="s">
        <v>22</v>
      </c>
      <c r="P113" s="10" t="s">
        <v>22</v>
      </c>
      <c r="Q113" s="5" t="s">
        <v>23</v>
      </c>
      <c r="R113" s="2" t="str">
        <f>""</f>
        <v/>
      </c>
      <c r="S113" s="11" t="s">
        <v>23</v>
      </c>
    </row>
    <row r="114" spans="1:19" thickTop="1" thickBot="1" x14ac:dyDescent="0.35">
      <c r="A114" s="3" t="s">
        <v>448</v>
      </c>
      <c r="B114" s="4" t="s">
        <v>15</v>
      </c>
      <c r="C114" s="4">
        <v>1945</v>
      </c>
      <c r="D114" s="5" t="s">
        <v>16</v>
      </c>
      <c r="E114" s="5" t="s">
        <v>17</v>
      </c>
      <c r="F114" s="6">
        <f>144-18</f>
        <v>126</v>
      </c>
      <c r="G114" s="7">
        <v>228</v>
      </c>
      <c r="H114" s="8" t="s">
        <v>18</v>
      </c>
      <c r="I114" s="2">
        <v>6982</v>
      </c>
      <c r="J114" s="9" t="s">
        <v>28</v>
      </c>
      <c r="K114" s="4" t="s">
        <v>449</v>
      </c>
      <c r="L114" s="2" t="s">
        <v>450</v>
      </c>
      <c r="M114" s="4" t="s">
        <v>451</v>
      </c>
      <c r="N114" s="15">
        <v>44921</v>
      </c>
      <c r="O114" s="5" t="s">
        <v>22</v>
      </c>
      <c r="P114" s="10" t="s">
        <v>22</v>
      </c>
      <c r="Q114" s="5" t="s">
        <v>23</v>
      </c>
      <c r="R114" s="5" t="str">
        <f>""</f>
        <v/>
      </c>
      <c r="S114" s="11" t="s">
        <v>23</v>
      </c>
    </row>
    <row r="115" spans="1:19" thickTop="1" thickBot="1" x14ac:dyDescent="0.35">
      <c r="A115" s="3" t="s">
        <v>452</v>
      </c>
      <c r="B115" s="4" t="s">
        <v>453</v>
      </c>
      <c r="C115" s="4">
        <v>2013</v>
      </c>
      <c r="D115" s="5" t="s">
        <v>164</v>
      </c>
      <c r="E115" s="5" t="s">
        <v>71</v>
      </c>
      <c r="F115" s="6">
        <f>652-16</f>
        <v>636</v>
      </c>
      <c r="G115" s="7">
        <v>692</v>
      </c>
      <c r="H115" s="8" t="s">
        <v>454</v>
      </c>
      <c r="I115" s="2">
        <v>1415</v>
      </c>
      <c r="K115" s="4" t="s">
        <v>455</v>
      </c>
      <c r="L115" s="4" t="str">
        <f>""</f>
        <v/>
      </c>
      <c r="M115" s="2" t="s">
        <v>456</v>
      </c>
      <c r="N115" s="5" t="str">
        <f>""</f>
        <v/>
      </c>
      <c r="O115" s="5" t="s">
        <v>22</v>
      </c>
      <c r="P115" s="10" t="s">
        <v>22</v>
      </c>
      <c r="Q115" s="5" t="s">
        <v>22</v>
      </c>
      <c r="R115" s="5" t="s">
        <v>22</v>
      </c>
      <c r="S115" s="11" t="s">
        <v>23</v>
      </c>
    </row>
    <row r="116" spans="1:19" thickTop="1" thickBot="1" x14ac:dyDescent="0.35">
      <c r="A116" s="3" t="s">
        <v>457</v>
      </c>
      <c r="B116" s="4" t="s">
        <v>98</v>
      </c>
      <c r="C116" s="4">
        <v>1871</v>
      </c>
      <c r="D116" s="5" t="s">
        <v>16</v>
      </c>
      <c r="E116" s="5" t="s">
        <v>42</v>
      </c>
      <c r="F116" s="6">
        <f>442-38</f>
        <v>404</v>
      </c>
      <c r="G116" s="7">
        <v>484</v>
      </c>
      <c r="H116" s="8" t="s">
        <v>60</v>
      </c>
      <c r="I116" s="2">
        <v>531</v>
      </c>
      <c r="J116" s="9" t="s">
        <v>72</v>
      </c>
      <c r="K116" s="4" t="s">
        <v>458</v>
      </c>
      <c r="L116" s="4" t="s">
        <v>354</v>
      </c>
      <c r="M116" s="4" t="str">
        <f>""</f>
        <v/>
      </c>
      <c r="N116" s="15">
        <v>44317</v>
      </c>
      <c r="O116" s="5" t="s">
        <v>22</v>
      </c>
      <c r="P116" s="10" t="s">
        <v>22</v>
      </c>
      <c r="Q116" s="5" t="s">
        <v>22</v>
      </c>
      <c r="R116" s="5" t="s">
        <v>22</v>
      </c>
      <c r="S116" s="11" t="s">
        <v>22</v>
      </c>
    </row>
    <row r="117" spans="1:19" thickTop="1" thickBot="1" x14ac:dyDescent="0.35">
      <c r="A117" s="3" t="s">
        <v>459</v>
      </c>
      <c r="B117" s="4" t="s">
        <v>460</v>
      </c>
      <c r="C117" s="4">
        <v>-51</v>
      </c>
      <c r="D117" s="5" t="s">
        <v>164</v>
      </c>
      <c r="E117" s="5" t="s">
        <v>27</v>
      </c>
      <c r="F117" s="6">
        <f>219-12</f>
        <v>207</v>
      </c>
      <c r="G117" s="7">
        <v>258</v>
      </c>
      <c r="H117" s="8" t="s">
        <v>18</v>
      </c>
      <c r="I117" s="2">
        <v>12</v>
      </c>
      <c r="J117" s="9" t="s">
        <v>35</v>
      </c>
      <c r="K117" s="4" t="s">
        <v>461</v>
      </c>
      <c r="L117" s="2" t="s">
        <v>285</v>
      </c>
      <c r="M117" s="4" t="s">
        <v>285</v>
      </c>
      <c r="N117" s="5" t="str">
        <f>""</f>
        <v/>
      </c>
      <c r="O117" s="5" t="s">
        <v>22</v>
      </c>
      <c r="P117" s="10" t="s">
        <v>22</v>
      </c>
      <c r="Q117" s="5" t="s">
        <v>22</v>
      </c>
      <c r="R117" s="5" t="s">
        <v>23</v>
      </c>
      <c r="S117" s="11" t="s">
        <v>23</v>
      </c>
    </row>
    <row r="118" spans="1:19" thickTop="1" thickBot="1" x14ac:dyDescent="0.35">
      <c r="A118" s="3" t="s">
        <v>462</v>
      </c>
      <c r="B118" s="4" t="s">
        <v>453</v>
      </c>
      <c r="C118" s="4">
        <v>1985</v>
      </c>
      <c r="D118" s="5" t="s">
        <v>164</v>
      </c>
      <c r="E118" s="5" t="s">
        <v>71</v>
      </c>
      <c r="F118" s="6">
        <f>412-2</f>
        <v>410</v>
      </c>
      <c r="G118" s="7">
        <v>420</v>
      </c>
      <c r="H118" s="8" t="s">
        <v>280</v>
      </c>
      <c r="I118" s="2">
        <v>7552</v>
      </c>
      <c r="J118" s="9" t="s">
        <v>463</v>
      </c>
      <c r="K118" s="4" t="s">
        <v>464</v>
      </c>
      <c r="L118" s="4" t="str">
        <f>""</f>
        <v/>
      </c>
      <c r="M118" s="2" t="s">
        <v>465</v>
      </c>
      <c r="N118" s="10">
        <v>44931</v>
      </c>
      <c r="O118" s="5" t="s">
        <v>22</v>
      </c>
      <c r="P118" s="10" t="s">
        <v>22</v>
      </c>
      <c r="Q118" s="5" t="s">
        <v>22</v>
      </c>
      <c r="R118" s="2" t="s">
        <v>22</v>
      </c>
      <c r="S118" s="11" t="s">
        <v>23</v>
      </c>
    </row>
    <row r="119" spans="1:19" thickTop="1" thickBot="1" x14ac:dyDescent="0.35">
      <c r="A119" s="3" t="s">
        <v>466</v>
      </c>
      <c r="B119" s="4" t="s">
        <v>467</v>
      </c>
      <c r="C119" s="4">
        <v>1934</v>
      </c>
      <c r="D119" s="5" t="s">
        <v>26</v>
      </c>
      <c r="E119" s="5" t="s">
        <v>42</v>
      </c>
      <c r="F119" s="6">
        <f>155-22</f>
        <v>133</v>
      </c>
      <c r="G119" s="7">
        <v>196</v>
      </c>
      <c r="H119" s="8" t="s">
        <v>60</v>
      </c>
      <c r="I119" s="2">
        <v>854</v>
      </c>
      <c r="J119" s="9" t="s">
        <v>468</v>
      </c>
      <c r="K119" s="4" t="s">
        <v>469</v>
      </c>
      <c r="L119" s="4" t="s">
        <v>470</v>
      </c>
      <c r="M119" s="4" t="str">
        <f>""</f>
        <v/>
      </c>
      <c r="N119" s="10">
        <v>43101</v>
      </c>
      <c r="O119" s="5" t="s">
        <v>22</v>
      </c>
      <c r="P119" s="10" t="s">
        <v>22</v>
      </c>
      <c r="Q119" s="5" t="s">
        <v>23</v>
      </c>
      <c r="R119" s="2" t="str">
        <f>""</f>
        <v/>
      </c>
      <c r="S119" s="11" t="s">
        <v>22</v>
      </c>
    </row>
    <row r="120" spans="1:19" thickTop="1" thickBot="1" x14ac:dyDescent="0.35">
      <c r="A120" s="3" t="s">
        <v>471</v>
      </c>
      <c r="B120" s="4" t="s">
        <v>472</v>
      </c>
      <c r="C120" s="4">
        <v>1915</v>
      </c>
      <c r="D120" s="5" t="s">
        <v>16</v>
      </c>
      <c r="E120" s="5" t="s">
        <v>34</v>
      </c>
      <c r="F120" s="6">
        <f>95-18</f>
        <v>77</v>
      </c>
      <c r="G120" s="7">
        <v>126</v>
      </c>
      <c r="H120" s="8" t="s">
        <v>18</v>
      </c>
      <c r="I120" s="2">
        <v>1452</v>
      </c>
      <c r="J120" s="2" t="s">
        <v>35</v>
      </c>
      <c r="K120" s="4" t="s">
        <v>473</v>
      </c>
      <c r="L120" s="4" t="s">
        <v>474</v>
      </c>
      <c r="M120" s="2" t="s">
        <v>474</v>
      </c>
      <c r="N120" s="10">
        <v>44986</v>
      </c>
      <c r="O120" s="5" t="s">
        <v>22</v>
      </c>
      <c r="P120" s="10" t="s">
        <v>22</v>
      </c>
      <c r="Q120" s="5" t="s">
        <v>23</v>
      </c>
      <c r="R120" s="2" t="str">
        <f>""</f>
        <v/>
      </c>
      <c r="S120" s="11" t="s">
        <v>23</v>
      </c>
    </row>
    <row r="121" spans="1:19" thickTop="1" thickBot="1" x14ac:dyDescent="0.35">
      <c r="A121" s="3" t="s">
        <v>475</v>
      </c>
      <c r="B121" s="4" t="s">
        <v>476</v>
      </c>
      <c r="C121" s="4">
        <v>2016</v>
      </c>
      <c r="D121" s="5" t="s">
        <v>88</v>
      </c>
      <c r="E121" s="5" t="s">
        <v>42</v>
      </c>
      <c r="F121" s="6">
        <f>734-0</f>
        <v>734</v>
      </c>
      <c r="G121" s="7">
        <v>756</v>
      </c>
      <c r="H121" s="8" t="s">
        <v>477</v>
      </c>
      <c r="I121" s="2" t="str">
        <f>""</f>
        <v/>
      </c>
      <c r="J121" s="2" t="str">
        <f>""</f>
        <v/>
      </c>
      <c r="K121" s="4" t="s">
        <v>478</v>
      </c>
      <c r="L121" s="4" t="s">
        <v>476</v>
      </c>
      <c r="M121" s="2" t="str">
        <f>""</f>
        <v/>
      </c>
      <c r="N121" s="17">
        <v>45444</v>
      </c>
      <c r="O121" s="5" t="s">
        <v>22</v>
      </c>
      <c r="P121" s="10" t="s">
        <v>22</v>
      </c>
      <c r="Q121" s="18" t="s">
        <v>23</v>
      </c>
      <c r="R121" s="5" t="str">
        <f>""</f>
        <v/>
      </c>
      <c r="S121" s="11" t="s">
        <v>23</v>
      </c>
    </row>
    <row r="122" spans="1:19" thickTop="1" thickBot="1" x14ac:dyDescent="0.35">
      <c r="A122" s="3" t="s">
        <v>479</v>
      </c>
      <c r="B122" s="4" t="s">
        <v>480</v>
      </c>
      <c r="C122" s="4">
        <v>2013</v>
      </c>
      <c r="D122" s="5" t="s">
        <v>88</v>
      </c>
      <c r="E122" s="5" t="s">
        <v>42</v>
      </c>
      <c r="F122" s="6">
        <f>646-0</f>
        <v>646</v>
      </c>
      <c r="G122" s="7">
        <v>676</v>
      </c>
      <c r="H122" s="8" t="s">
        <v>477</v>
      </c>
      <c r="I122" s="2" t="str">
        <f>""</f>
        <v/>
      </c>
      <c r="J122" s="9" t="str">
        <f>""</f>
        <v/>
      </c>
      <c r="K122" s="4" t="s">
        <v>481</v>
      </c>
      <c r="L122" s="4" t="s">
        <v>482</v>
      </c>
      <c r="M122" s="2" t="str">
        <f>""</f>
        <v/>
      </c>
      <c r="N122" s="5" t="str">
        <f>""</f>
        <v/>
      </c>
      <c r="O122" s="5" t="s">
        <v>22</v>
      </c>
      <c r="P122" s="10" t="s">
        <v>22</v>
      </c>
      <c r="Q122" s="5" t="s">
        <v>22</v>
      </c>
      <c r="R122" s="5" t="s">
        <v>22</v>
      </c>
      <c r="S122" s="11" t="s">
        <v>23</v>
      </c>
    </row>
    <row r="123" spans="1:19" thickTop="1" thickBot="1" x14ac:dyDescent="0.35">
      <c r="A123" s="3" t="s">
        <v>483</v>
      </c>
      <c r="B123" s="4" t="s">
        <v>484</v>
      </c>
      <c r="C123" s="4">
        <v>1991</v>
      </c>
      <c r="D123" s="5" t="s">
        <v>26</v>
      </c>
      <c r="E123" s="5" t="s">
        <v>42</v>
      </c>
      <c r="F123" s="6">
        <f>114-12</f>
        <v>102</v>
      </c>
      <c r="G123" s="7">
        <v>164</v>
      </c>
      <c r="H123" s="8" t="s">
        <v>485</v>
      </c>
      <c r="I123" s="2">
        <v>61</v>
      </c>
      <c r="J123" s="9" t="s">
        <v>486</v>
      </c>
      <c r="K123" s="4" t="s">
        <v>487</v>
      </c>
      <c r="L123" s="4" t="s">
        <v>488</v>
      </c>
      <c r="M123" s="2" t="str">
        <f>""</f>
        <v/>
      </c>
      <c r="N123" s="10">
        <v>43132</v>
      </c>
      <c r="O123" s="5" t="s">
        <v>22</v>
      </c>
      <c r="P123" s="10" t="s">
        <v>22</v>
      </c>
      <c r="Q123" s="5" t="s">
        <v>22</v>
      </c>
      <c r="R123" s="2" t="s">
        <v>23</v>
      </c>
      <c r="S123" s="11" t="s">
        <v>22</v>
      </c>
    </row>
    <row r="124" spans="1:19" thickTop="1" thickBot="1" x14ac:dyDescent="0.35">
      <c r="A124" s="3" t="s">
        <v>489</v>
      </c>
      <c r="B124" s="4" t="s">
        <v>314</v>
      </c>
      <c r="C124" s="4">
        <v>1831</v>
      </c>
      <c r="D124" s="5" t="s">
        <v>16</v>
      </c>
      <c r="E124" s="5" t="s">
        <v>42</v>
      </c>
      <c r="F124" s="6">
        <f>375-18</f>
        <v>357</v>
      </c>
      <c r="G124" s="7">
        <v>452</v>
      </c>
      <c r="H124" s="8" t="s">
        <v>18</v>
      </c>
      <c r="I124" s="2">
        <v>555</v>
      </c>
      <c r="J124" s="9" t="s">
        <v>28</v>
      </c>
      <c r="K124" s="4" t="s">
        <v>490</v>
      </c>
      <c r="L124" s="4" t="s">
        <v>491</v>
      </c>
      <c r="M124" s="2" t="str">
        <f>""</f>
        <v/>
      </c>
      <c r="N124" s="10">
        <v>44299</v>
      </c>
      <c r="O124" s="5" t="s">
        <v>22</v>
      </c>
      <c r="P124" s="10" t="s">
        <v>22</v>
      </c>
      <c r="Q124" s="5" t="s">
        <v>23</v>
      </c>
      <c r="R124" s="2" t="str">
        <f>""</f>
        <v/>
      </c>
      <c r="S124" s="11" t="s">
        <v>23</v>
      </c>
    </row>
    <row r="125" spans="1:19" thickTop="1" thickBot="1" x14ac:dyDescent="0.35">
      <c r="A125" s="3" t="s">
        <v>492</v>
      </c>
      <c r="B125" s="4" t="s">
        <v>493</v>
      </c>
      <c r="C125" s="4">
        <v>1678</v>
      </c>
      <c r="D125" s="5" t="s">
        <v>16</v>
      </c>
      <c r="E125" s="5" t="s">
        <v>42</v>
      </c>
      <c r="F125" s="6">
        <f>239-44</f>
        <v>195</v>
      </c>
      <c r="G125" s="7">
        <v>260</v>
      </c>
      <c r="H125" s="8" t="s">
        <v>60</v>
      </c>
      <c r="I125" s="2">
        <v>374</v>
      </c>
      <c r="J125" s="9" t="s">
        <v>72</v>
      </c>
      <c r="K125" s="4" t="s">
        <v>494</v>
      </c>
      <c r="L125" s="4" t="s">
        <v>495</v>
      </c>
      <c r="M125" s="4" t="str">
        <f>""</f>
        <v/>
      </c>
      <c r="N125" s="15">
        <v>44470</v>
      </c>
      <c r="O125" s="5" t="s">
        <v>22</v>
      </c>
      <c r="P125" s="10" t="s">
        <v>22</v>
      </c>
      <c r="Q125" s="5" t="s">
        <v>23</v>
      </c>
      <c r="R125" s="2" t="str">
        <f>""</f>
        <v/>
      </c>
      <c r="S125" s="11" t="s">
        <v>22</v>
      </c>
    </row>
    <row r="126" spans="1:19" thickTop="1" thickBot="1" x14ac:dyDescent="0.35">
      <c r="A126" s="3" t="s">
        <v>496</v>
      </c>
      <c r="B126" s="4" t="s">
        <v>83</v>
      </c>
      <c r="C126" s="4">
        <v>-377</v>
      </c>
      <c r="D126" s="5" t="s">
        <v>33</v>
      </c>
      <c r="E126" s="5" t="s">
        <v>78</v>
      </c>
      <c r="F126" s="6">
        <f>523-70</f>
        <v>453</v>
      </c>
      <c r="G126" s="7">
        <v>822</v>
      </c>
      <c r="H126" s="8" t="s">
        <v>18</v>
      </c>
      <c r="I126" s="2">
        <v>653</v>
      </c>
      <c r="J126" s="9" t="s">
        <v>35</v>
      </c>
      <c r="K126" s="4" t="s">
        <v>497</v>
      </c>
      <c r="L126" s="2" t="s">
        <v>498</v>
      </c>
      <c r="M126" s="2" t="s">
        <v>498</v>
      </c>
      <c r="N126" s="5" t="str">
        <f>""</f>
        <v/>
      </c>
      <c r="O126" s="5" t="s">
        <v>22</v>
      </c>
      <c r="P126" s="10" t="s">
        <v>22</v>
      </c>
      <c r="Q126" s="5" t="s">
        <v>23</v>
      </c>
      <c r="R126" s="2" t="str">
        <f>""</f>
        <v/>
      </c>
      <c r="S126" s="11" t="s">
        <v>23</v>
      </c>
    </row>
    <row r="127" spans="1:19" thickTop="1" thickBot="1" x14ac:dyDescent="0.35">
      <c r="A127" s="3" t="s">
        <v>499</v>
      </c>
      <c r="B127" s="4" t="s">
        <v>500</v>
      </c>
      <c r="C127" s="4">
        <v>1935</v>
      </c>
      <c r="D127" s="5" t="s">
        <v>41</v>
      </c>
      <c r="E127" s="5" t="s">
        <v>42</v>
      </c>
      <c r="F127" s="6">
        <f>184-114</f>
        <v>70</v>
      </c>
      <c r="G127" s="7">
        <v>87</v>
      </c>
      <c r="H127" s="8" t="s">
        <v>134</v>
      </c>
      <c r="I127" s="2">
        <v>18</v>
      </c>
      <c r="J127" s="9" t="s">
        <v>41</v>
      </c>
      <c r="K127" s="4" t="s">
        <v>501</v>
      </c>
      <c r="L127" s="2" t="str">
        <f>""</f>
        <v/>
      </c>
      <c r="M127" s="2" t="str">
        <f>""</f>
        <v/>
      </c>
      <c r="N127" s="10">
        <v>44661</v>
      </c>
      <c r="O127" s="5" t="s">
        <v>22</v>
      </c>
      <c r="P127" s="10" t="s">
        <v>22</v>
      </c>
      <c r="Q127" s="5" t="s">
        <v>23</v>
      </c>
      <c r="R127" s="5" t="str">
        <f>""</f>
        <v/>
      </c>
      <c r="S127" s="11" t="s">
        <v>23</v>
      </c>
    </row>
    <row r="128" spans="1:19" thickTop="1" thickBot="1" x14ac:dyDescent="0.35">
      <c r="A128" s="3" t="s">
        <v>502</v>
      </c>
      <c r="B128" s="4" t="s">
        <v>503</v>
      </c>
      <c r="C128" s="4">
        <v>2010</v>
      </c>
      <c r="D128" s="5" t="s">
        <v>111</v>
      </c>
      <c r="E128" s="5" t="s">
        <v>42</v>
      </c>
      <c r="F128" s="6">
        <f>384-8</f>
        <v>376</v>
      </c>
      <c r="G128" s="7">
        <v>452</v>
      </c>
      <c r="H128" s="8" t="s">
        <v>60</v>
      </c>
      <c r="I128" s="2">
        <v>31778</v>
      </c>
      <c r="J128" s="2" t="s">
        <v>504</v>
      </c>
      <c r="K128" s="4" t="s">
        <v>505</v>
      </c>
      <c r="L128" s="2" t="str">
        <f>""</f>
        <v/>
      </c>
      <c r="M128" s="4" t="str">
        <f>""</f>
        <v/>
      </c>
      <c r="N128" s="10">
        <v>44713</v>
      </c>
      <c r="O128" s="5" t="s">
        <v>22</v>
      </c>
      <c r="P128" s="10" t="s">
        <v>22</v>
      </c>
      <c r="Q128" s="5" t="s">
        <v>22</v>
      </c>
      <c r="R128" s="5" t="s">
        <v>22</v>
      </c>
      <c r="S128" s="11" t="s">
        <v>23</v>
      </c>
    </row>
    <row r="129" spans="1:19" thickTop="1" thickBot="1" x14ac:dyDescent="0.35">
      <c r="A129" s="3" t="s">
        <v>506</v>
      </c>
      <c r="B129" s="4" t="s">
        <v>453</v>
      </c>
      <c r="C129" s="4">
        <v>1997</v>
      </c>
      <c r="D129" s="5" t="s">
        <v>164</v>
      </c>
      <c r="E129" s="5" t="s">
        <v>71</v>
      </c>
      <c r="F129" s="6">
        <f>250-10</f>
        <v>240</v>
      </c>
      <c r="G129" s="7">
        <v>260</v>
      </c>
      <c r="H129" s="8" t="s">
        <v>280</v>
      </c>
      <c r="I129" s="2">
        <v>5408</v>
      </c>
      <c r="J129" s="9" t="str">
        <f>""</f>
        <v/>
      </c>
      <c r="K129" s="4" t="s">
        <v>507</v>
      </c>
      <c r="L129" s="2" t="str">
        <f>""</f>
        <v/>
      </c>
      <c r="M129" s="2" t="s">
        <v>465</v>
      </c>
      <c r="N129" s="10">
        <v>43954</v>
      </c>
      <c r="O129" s="5" t="s">
        <v>22</v>
      </c>
      <c r="P129" s="10" t="s">
        <v>22</v>
      </c>
      <c r="Q129" s="5" t="s">
        <v>22</v>
      </c>
      <c r="R129" s="5" t="s">
        <v>22</v>
      </c>
      <c r="S129" s="11" t="s">
        <v>23</v>
      </c>
    </row>
    <row r="130" spans="1:19" thickTop="1" thickBot="1" x14ac:dyDescent="0.35">
      <c r="A130" s="3" t="s">
        <v>508</v>
      </c>
      <c r="B130" s="4" t="s">
        <v>509</v>
      </c>
      <c r="C130" s="4">
        <v>2022</v>
      </c>
      <c r="D130" s="5" t="s">
        <v>88</v>
      </c>
      <c r="E130" s="5" t="s">
        <v>42</v>
      </c>
      <c r="F130" s="6">
        <f>395-6</f>
        <v>389</v>
      </c>
      <c r="G130" s="7">
        <v>422</v>
      </c>
      <c r="H130" s="8" t="s">
        <v>35</v>
      </c>
      <c r="I130" s="2" t="str">
        <f>""</f>
        <v/>
      </c>
      <c r="J130" s="9" t="s">
        <v>510</v>
      </c>
      <c r="K130" s="4" t="s">
        <v>511</v>
      </c>
      <c r="L130" s="4" t="str">
        <f>""</f>
        <v/>
      </c>
      <c r="M130" s="2" t="str">
        <f>""</f>
        <v/>
      </c>
      <c r="N130" s="10">
        <v>2022</v>
      </c>
      <c r="O130" s="5" t="s">
        <v>22</v>
      </c>
      <c r="P130" s="10" t="s">
        <v>22</v>
      </c>
      <c r="Q130" s="5" t="s">
        <v>22</v>
      </c>
      <c r="R130" s="5" t="s">
        <v>22</v>
      </c>
      <c r="S130" s="11" t="s">
        <v>23</v>
      </c>
    </row>
    <row r="131" spans="1:19" thickTop="1" thickBot="1" x14ac:dyDescent="0.35">
      <c r="A131" s="3" t="s">
        <v>512</v>
      </c>
      <c r="B131" s="4" t="s">
        <v>325</v>
      </c>
      <c r="C131" s="4">
        <v>1694</v>
      </c>
      <c r="D131" s="5" t="s">
        <v>164</v>
      </c>
      <c r="E131" s="5" t="s">
        <v>42</v>
      </c>
      <c r="F131" s="6">
        <f>60-44</f>
        <v>16</v>
      </c>
      <c r="G131" s="7">
        <f>548/2</f>
        <v>274</v>
      </c>
      <c r="H131" s="8" t="s">
        <v>60</v>
      </c>
      <c r="I131" s="2">
        <v>1198</v>
      </c>
      <c r="J131" s="9" t="s">
        <v>72</v>
      </c>
      <c r="K131" s="4" t="s">
        <v>326</v>
      </c>
      <c r="L131" s="4" t="s">
        <v>327</v>
      </c>
      <c r="M131" s="4" t="str">
        <f>""</f>
        <v/>
      </c>
      <c r="N131" s="15">
        <v>43983</v>
      </c>
      <c r="O131" s="5" t="s">
        <v>22</v>
      </c>
      <c r="P131" s="10" t="s">
        <v>22</v>
      </c>
      <c r="Q131" s="5" t="s">
        <v>22</v>
      </c>
      <c r="R131" s="5" t="s">
        <v>22</v>
      </c>
      <c r="S131" s="11" t="s">
        <v>23</v>
      </c>
    </row>
    <row r="132" spans="1:19" thickTop="1" thickBot="1" x14ac:dyDescent="0.35">
      <c r="A132" s="3" t="s">
        <v>513</v>
      </c>
      <c r="B132" s="4" t="s">
        <v>25</v>
      </c>
      <c r="C132" s="4">
        <v>58</v>
      </c>
      <c r="D132" s="5" t="s">
        <v>33</v>
      </c>
      <c r="E132" s="5" t="s">
        <v>27</v>
      </c>
      <c r="F132" s="6">
        <f>97-42</f>
        <v>55</v>
      </c>
      <c r="G132" s="7">
        <f>164/2</f>
        <v>82</v>
      </c>
      <c r="H132" s="8" t="s">
        <v>18</v>
      </c>
      <c r="I132" s="2">
        <v>1244</v>
      </c>
      <c r="J132" s="9" t="s">
        <v>35</v>
      </c>
      <c r="K132" s="4" t="s">
        <v>424</v>
      </c>
      <c r="L132" s="2" t="s">
        <v>386</v>
      </c>
      <c r="M132" s="2" t="s">
        <v>386</v>
      </c>
      <c r="N132" s="5" t="str">
        <f>""</f>
        <v/>
      </c>
      <c r="O132" s="5" t="s">
        <v>23</v>
      </c>
      <c r="P132" s="10" t="s">
        <v>22</v>
      </c>
      <c r="Q132" s="5" t="s">
        <v>22</v>
      </c>
      <c r="R132" s="2" t="s">
        <v>23</v>
      </c>
      <c r="S132" s="11" t="s">
        <v>23</v>
      </c>
    </row>
    <row r="133" spans="1:19" thickTop="1" thickBot="1" x14ac:dyDescent="0.35">
      <c r="A133" s="3" t="s">
        <v>514</v>
      </c>
      <c r="B133" s="4" t="s">
        <v>500</v>
      </c>
      <c r="C133" s="4">
        <v>1932</v>
      </c>
      <c r="D133" s="5" t="s">
        <v>41</v>
      </c>
      <c r="E133" s="5" t="s">
        <v>42</v>
      </c>
      <c r="F133" s="6">
        <f>113-18</f>
        <v>95</v>
      </c>
      <c r="G133" s="7">
        <v>87</v>
      </c>
      <c r="H133" s="8" t="s">
        <v>134</v>
      </c>
      <c r="I133" s="2">
        <v>18</v>
      </c>
      <c r="J133" s="9" t="s">
        <v>41</v>
      </c>
      <c r="K133" s="4" t="s">
        <v>501</v>
      </c>
      <c r="L133" s="4" t="str">
        <f>""</f>
        <v/>
      </c>
      <c r="M133" s="2" t="str">
        <f>""</f>
        <v/>
      </c>
      <c r="N133" s="10">
        <v>44661</v>
      </c>
      <c r="O133" s="5" t="s">
        <v>22</v>
      </c>
      <c r="P133" s="10" t="s">
        <v>22</v>
      </c>
      <c r="Q133" s="5" t="s">
        <v>23</v>
      </c>
      <c r="R133" s="5" t="str">
        <f>""</f>
        <v/>
      </c>
      <c r="S133" s="11" t="s">
        <v>23</v>
      </c>
    </row>
    <row r="134" spans="1:19" thickTop="1" thickBot="1" x14ac:dyDescent="0.35">
      <c r="A134" s="3" t="s">
        <v>515</v>
      </c>
      <c r="B134" s="4" t="s">
        <v>151</v>
      </c>
      <c r="C134" s="4">
        <v>1829</v>
      </c>
      <c r="D134" s="5" t="s">
        <v>16</v>
      </c>
      <c r="E134" s="5" t="s">
        <v>42</v>
      </c>
      <c r="F134" s="6">
        <f>243-188</f>
        <v>55</v>
      </c>
      <c r="G134" s="7">
        <f>290/2</f>
        <v>145</v>
      </c>
      <c r="H134" s="8" t="s">
        <v>60</v>
      </c>
      <c r="I134" s="2">
        <v>6646</v>
      </c>
      <c r="J134" s="9" t="s">
        <v>72</v>
      </c>
      <c r="K134" s="4" t="s">
        <v>516</v>
      </c>
      <c r="L134" s="4" t="s">
        <v>517</v>
      </c>
      <c r="M134" s="4" t="str">
        <f>""</f>
        <v/>
      </c>
      <c r="N134" s="10">
        <v>44013</v>
      </c>
      <c r="O134" s="5" t="s">
        <v>22</v>
      </c>
      <c r="P134" s="10" t="s">
        <v>22</v>
      </c>
      <c r="Q134" s="5" t="s">
        <v>22</v>
      </c>
      <c r="R134" s="2" t="s">
        <v>23</v>
      </c>
      <c r="S134" s="11" t="s">
        <v>23</v>
      </c>
    </row>
    <row r="135" spans="1:19" thickTop="1" thickBot="1" x14ac:dyDescent="0.35">
      <c r="A135" s="3" t="s">
        <v>518</v>
      </c>
      <c r="B135" s="4" t="s">
        <v>519</v>
      </c>
      <c r="C135" s="4">
        <v>1165</v>
      </c>
      <c r="D135" s="5" t="s">
        <v>41</v>
      </c>
      <c r="E135" s="5" t="s">
        <v>42</v>
      </c>
      <c r="F135" s="6">
        <f>399-30</f>
        <v>369</v>
      </c>
      <c r="G135" s="7">
        <v>500</v>
      </c>
      <c r="H135" s="8" t="s">
        <v>18</v>
      </c>
      <c r="I135" s="2">
        <v>3395</v>
      </c>
      <c r="J135" s="9" t="s">
        <v>28</v>
      </c>
      <c r="K135" s="4" t="s">
        <v>520</v>
      </c>
      <c r="L135" s="4" t="s">
        <v>521</v>
      </c>
      <c r="M135" s="4" t="s">
        <v>521</v>
      </c>
      <c r="N135" s="15">
        <v>44803</v>
      </c>
      <c r="O135" s="5" t="s">
        <v>22</v>
      </c>
      <c r="P135" s="10" t="s">
        <v>22</v>
      </c>
      <c r="Q135" s="5" t="s">
        <v>23</v>
      </c>
      <c r="R135" s="2" t="str">
        <f>""</f>
        <v/>
      </c>
      <c r="S135" s="11" t="s">
        <v>23</v>
      </c>
    </row>
    <row r="136" spans="1:19" thickTop="1" thickBot="1" x14ac:dyDescent="0.35">
      <c r="A136" s="3" t="s">
        <v>522</v>
      </c>
      <c r="B136" s="4" t="s">
        <v>32</v>
      </c>
      <c r="C136" s="4">
        <v>1888</v>
      </c>
      <c r="D136" s="5" t="s">
        <v>33</v>
      </c>
      <c r="E136" s="5" t="s">
        <v>34</v>
      </c>
      <c r="F136" s="6">
        <f>150-44</f>
        <v>106</v>
      </c>
      <c r="G136" s="7">
        <v>280</v>
      </c>
      <c r="H136" s="8" t="s">
        <v>18</v>
      </c>
      <c r="I136" s="2">
        <v>753</v>
      </c>
      <c r="J136" s="9" t="s">
        <v>35</v>
      </c>
      <c r="K136" s="4" t="s">
        <v>523</v>
      </c>
      <c r="L136" s="4" t="s">
        <v>351</v>
      </c>
      <c r="M136" s="4" t="s">
        <v>351</v>
      </c>
      <c r="N136" s="5" t="str">
        <f>""</f>
        <v/>
      </c>
      <c r="O136" s="5" t="s">
        <v>22</v>
      </c>
      <c r="P136" s="10" t="s">
        <v>22</v>
      </c>
      <c r="Q136" s="5" t="s">
        <v>23</v>
      </c>
      <c r="R136" s="5" t="str">
        <f>""</f>
        <v/>
      </c>
      <c r="S136" s="11" t="s">
        <v>23</v>
      </c>
    </row>
    <row r="137" spans="1:19" thickTop="1" thickBot="1" x14ac:dyDescent="0.35">
      <c r="A137" s="3" t="s">
        <v>524</v>
      </c>
      <c r="B137" s="4" t="s">
        <v>188</v>
      </c>
      <c r="C137" s="4">
        <v>1903</v>
      </c>
      <c r="D137" s="5" t="s">
        <v>16</v>
      </c>
      <c r="E137" s="5" t="s">
        <v>49</v>
      </c>
      <c r="F137" s="6">
        <f>160-26</f>
        <v>134</v>
      </c>
      <c r="G137" s="7">
        <v>214</v>
      </c>
      <c r="H137" s="8" t="s">
        <v>18</v>
      </c>
      <c r="I137" s="2">
        <v>6697</v>
      </c>
      <c r="J137" s="9" t="s">
        <v>28</v>
      </c>
      <c r="K137" s="4" t="s">
        <v>525</v>
      </c>
      <c r="L137" s="2" t="s">
        <v>450</v>
      </c>
      <c r="M137" s="2" t="s">
        <v>526</v>
      </c>
      <c r="N137" s="10">
        <v>44299</v>
      </c>
      <c r="O137" s="5" t="s">
        <v>22</v>
      </c>
      <c r="P137" s="10" t="s">
        <v>22</v>
      </c>
      <c r="Q137" s="5" t="s">
        <v>22</v>
      </c>
      <c r="R137" s="5" t="s">
        <v>23</v>
      </c>
      <c r="S137" s="11" t="s">
        <v>22</v>
      </c>
    </row>
    <row r="138" spans="1:19" thickTop="1" thickBot="1" x14ac:dyDescent="0.35">
      <c r="A138" s="3" t="s">
        <v>527</v>
      </c>
      <c r="B138" s="4" t="s">
        <v>528</v>
      </c>
      <c r="C138" s="4">
        <v>1998</v>
      </c>
      <c r="D138" s="5" t="s">
        <v>111</v>
      </c>
      <c r="E138" s="5" t="s">
        <v>42</v>
      </c>
      <c r="F138" s="6">
        <f>208-6</f>
        <v>202</v>
      </c>
      <c r="G138" s="7">
        <v>228</v>
      </c>
      <c r="H138" s="8" t="s">
        <v>60</v>
      </c>
      <c r="I138" s="2">
        <v>544</v>
      </c>
      <c r="J138" s="9" t="s">
        <v>504</v>
      </c>
      <c r="K138" s="4" t="s">
        <v>529</v>
      </c>
      <c r="L138" s="4" t="str">
        <f>""</f>
        <v/>
      </c>
      <c r="M138" s="4" t="str">
        <f>""</f>
        <v/>
      </c>
      <c r="N138" s="10">
        <v>44470</v>
      </c>
      <c r="O138" s="5" t="s">
        <v>22</v>
      </c>
      <c r="P138" s="10" t="s">
        <v>22</v>
      </c>
      <c r="Q138" s="5" t="s">
        <v>22</v>
      </c>
      <c r="R138" s="5" t="s">
        <v>23</v>
      </c>
      <c r="S138" s="11" t="s">
        <v>23</v>
      </c>
    </row>
    <row r="139" spans="1:19" thickTop="1" thickBot="1" x14ac:dyDescent="0.35">
      <c r="A139" s="3" t="s">
        <v>530</v>
      </c>
      <c r="B139" s="4" t="s">
        <v>531</v>
      </c>
      <c r="C139" s="4">
        <v>1</v>
      </c>
      <c r="D139" s="5" t="s">
        <v>41</v>
      </c>
      <c r="E139" s="5" t="s">
        <v>27</v>
      </c>
      <c r="F139" s="6">
        <f>138-16</f>
        <v>122</v>
      </c>
      <c r="G139" s="7">
        <v>228</v>
      </c>
      <c r="H139" s="8" t="s">
        <v>18</v>
      </c>
      <c r="I139" s="2">
        <v>532</v>
      </c>
      <c r="J139" s="2" t="s">
        <v>28</v>
      </c>
      <c r="K139" s="4" t="s">
        <v>532</v>
      </c>
      <c r="L139" s="4" t="s">
        <v>533</v>
      </c>
      <c r="M139" s="4" t="s">
        <v>534</v>
      </c>
      <c r="N139" s="15">
        <v>44305</v>
      </c>
      <c r="O139" s="5" t="s">
        <v>22</v>
      </c>
      <c r="P139" s="10" t="s">
        <v>22</v>
      </c>
      <c r="Q139" s="5" t="s">
        <v>22</v>
      </c>
      <c r="R139" s="5" t="s">
        <v>22</v>
      </c>
      <c r="S139" s="11" t="s">
        <v>23</v>
      </c>
    </row>
    <row r="140" spans="1:19" thickTop="1" thickBot="1" x14ac:dyDescent="0.35">
      <c r="A140" s="3" t="s">
        <v>535</v>
      </c>
      <c r="B140" s="4" t="s">
        <v>536</v>
      </c>
      <c r="C140" s="4">
        <v>-512</v>
      </c>
      <c r="D140" s="5" t="s">
        <v>33</v>
      </c>
      <c r="E140" s="5" t="s">
        <v>537</v>
      </c>
      <c r="F140" s="6">
        <f>91-50</f>
        <v>41</v>
      </c>
      <c r="G140" s="7">
        <v>356</v>
      </c>
      <c r="H140" s="8" t="s">
        <v>538</v>
      </c>
      <c r="I140" s="2" t="str">
        <f>""</f>
        <v/>
      </c>
      <c r="J140" s="9" t="str">
        <f>""</f>
        <v/>
      </c>
      <c r="K140" s="4" t="s">
        <v>539</v>
      </c>
      <c r="L140" s="4" t="s">
        <v>540</v>
      </c>
      <c r="M140" s="2" t="s">
        <v>540</v>
      </c>
      <c r="N140" s="5" t="str">
        <f>""</f>
        <v/>
      </c>
      <c r="O140" s="5" t="s">
        <v>22</v>
      </c>
      <c r="P140" s="10" t="s">
        <v>22</v>
      </c>
      <c r="Q140" s="5" t="s">
        <v>22</v>
      </c>
      <c r="R140" s="2" t="s">
        <v>23</v>
      </c>
      <c r="S140" s="11" t="s">
        <v>22</v>
      </c>
    </row>
    <row r="141" spans="1:19" thickTop="1" thickBot="1" x14ac:dyDescent="0.35">
      <c r="A141" s="3" t="s">
        <v>541</v>
      </c>
      <c r="B141" s="4" t="s">
        <v>308</v>
      </c>
      <c r="C141" s="4">
        <v>1674</v>
      </c>
      <c r="D141" s="5" t="s">
        <v>41</v>
      </c>
      <c r="E141" s="5" t="s">
        <v>42</v>
      </c>
      <c r="F141" s="6">
        <f>258-224</f>
        <v>34</v>
      </c>
      <c r="G141" s="7">
        <v>119</v>
      </c>
      <c r="H141" s="8" t="s">
        <v>134</v>
      </c>
      <c r="I141" s="2">
        <v>195</v>
      </c>
      <c r="J141" s="9" t="s">
        <v>41</v>
      </c>
      <c r="K141" s="4" t="s">
        <v>309</v>
      </c>
      <c r="L141" s="4" t="s">
        <v>310</v>
      </c>
      <c r="M141" s="4" t="str">
        <f>""</f>
        <v/>
      </c>
      <c r="N141" s="15">
        <v>44237</v>
      </c>
      <c r="O141" s="5" t="s">
        <v>22</v>
      </c>
      <c r="P141" s="10" t="s">
        <v>22</v>
      </c>
      <c r="Q141" s="5" t="s">
        <v>23</v>
      </c>
      <c r="R141" s="5" t="str">
        <f>""</f>
        <v/>
      </c>
      <c r="S141" s="11" t="s">
        <v>23</v>
      </c>
    </row>
    <row r="142" spans="1:19" thickTop="1" thickBot="1" x14ac:dyDescent="0.35">
      <c r="A142" s="3" t="s">
        <v>542</v>
      </c>
      <c r="B142" s="4" t="s">
        <v>543</v>
      </c>
      <c r="C142" s="4">
        <v>-392</v>
      </c>
      <c r="D142" s="5" t="s">
        <v>26</v>
      </c>
      <c r="E142" s="5" t="s">
        <v>78</v>
      </c>
      <c r="F142" s="6">
        <f>255-158</f>
        <v>97</v>
      </c>
      <c r="G142" s="7">
        <f>342/2</f>
        <v>171</v>
      </c>
      <c r="H142" s="8" t="s">
        <v>18</v>
      </c>
      <c r="I142" s="2">
        <v>1610</v>
      </c>
      <c r="J142" s="9" t="s">
        <v>35</v>
      </c>
      <c r="K142" s="4" t="s">
        <v>544</v>
      </c>
      <c r="L142" s="4" t="s">
        <v>545</v>
      </c>
      <c r="M142" s="2" t="s">
        <v>546</v>
      </c>
      <c r="N142" s="5" t="str">
        <f>""</f>
        <v/>
      </c>
      <c r="O142" s="5" t="s">
        <v>22</v>
      </c>
      <c r="P142" s="10" t="s">
        <v>22</v>
      </c>
      <c r="Q142" s="5" t="s">
        <v>22</v>
      </c>
      <c r="R142" s="2" t="s">
        <v>23</v>
      </c>
      <c r="S142" s="11" t="s">
        <v>23</v>
      </c>
    </row>
    <row r="143" spans="1:19" thickTop="1" thickBot="1" x14ac:dyDescent="0.35">
      <c r="A143" s="3" t="s">
        <v>547</v>
      </c>
      <c r="B143" s="4" t="s">
        <v>98</v>
      </c>
      <c r="C143" s="4">
        <v>1877</v>
      </c>
      <c r="D143" s="5" t="s">
        <v>16</v>
      </c>
      <c r="E143" s="5" t="s">
        <v>42</v>
      </c>
      <c r="F143" s="6">
        <f>504-44</f>
        <v>460</v>
      </c>
      <c r="G143" s="7">
        <v>580</v>
      </c>
      <c r="H143" s="8" t="s">
        <v>60</v>
      </c>
      <c r="I143" s="2">
        <v>97</v>
      </c>
      <c r="J143" s="9" t="s">
        <v>72</v>
      </c>
      <c r="K143" s="4" t="s">
        <v>548</v>
      </c>
      <c r="L143" s="4" t="s">
        <v>549</v>
      </c>
      <c r="M143" s="2" t="str">
        <f>""</f>
        <v/>
      </c>
      <c r="N143" s="13">
        <v>44317</v>
      </c>
      <c r="O143" s="5" t="s">
        <v>22</v>
      </c>
      <c r="P143" s="10" t="s">
        <v>22</v>
      </c>
      <c r="Q143" s="5" t="s">
        <v>23</v>
      </c>
      <c r="R143" s="2" t="str">
        <f>""</f>
        <v/>
      </c>
      <c r="S143" s="11" t="s">
        <v>23</v>
      </c>
    </row>
    <row r="144" spans="1:19" thickTop="1" thickBot="1" x14ac:dyDescent="0.35">
      <c r="A144" s="3" t="s">
        <v>550</v>
      </c>
      <c r="B144" s="4" t="s">
        <v>250</v>
      </c>
      <c r="C144" s="4">
        <v>1668</v>
      </c>
      <c r="D144" s="5" t="s">
        <v>26</v>
      </c>
      <c r="E144" s="5" t="s">
        <v>42</v>
      </c>
      <c r="F144" s="6">
        <f>213-20</f>
        <v>193</v>
      </c>
      <c r="G144" s="7">
        <v>244</v>
      </c>
      <c r="H144" s="8" t="s">
        <v>18</v>
      </c>
      <c r="I144" s="2">
        <v>3234</v>
      </c>
      <c r="J144" s="9" t="s">
        <v>28</v>
      </c>
      <c r="K144" s="4" t="s">
        <v>551</v>
      </c>
      <c r="L144" s="4" t="s">
        <v>252</v>
      </c>
      <c r="M144" s="4" t="str">
        <f>""</f>
        <v/>
      </c>
      <c r="N144" s="15">
        <v>44785</v>
      </c>
      <c r="O144" s="5" t="s">
        <v>22</v>
      </c>
      <c r="P144" s="10" t="s">
        <v>22</v>
      </c>
      <c r="Q144" s="5" t="s">
        <v>23</v>
      </c>
      <c r="R144" s="5" t="str">
        <f>""</f>
        <v/>
      </c>
      <c r="S144" s="11" t="s">
        <v>22</v>
      </c>
    </row>
    <row r="145" spans="1:19" thickTop="1" thickBot="1" x14ac:dyDescent="0.35">
      <c r="A145" s="3" t="s">
        <v>552</v>
      </c>
      <c r="B145" s="4" t="s">
        <v>83</v>
      </c>
      <c r="C145" s="4">
        <v>-380</v>
      </c>
      <c r="D145" s="5" t="s">
        <v>33</v>
      </c>
      <c r="E145" s="5" t="s">
        <v>78</v>
      </c>
      <c r="F145" s="6">
        <f>179-82</f>
        <v>97</v>
      </c>
      <c r="G145" s="7">
        <v>292</v>
      </c>
      <c r="H145" s="8" t="s">
        <v>18</v>
      </c>
      <c r="I145" s="2">
        <v>1327</v>
      </c>
      <c r="J145" s="9" t="s">
        <v>35</v>
      </c>
      <c r="K145" s="4" t="s">
        <v>553</v>
      </c>
      <c r="L145" s="4" t="s">
        <v>85</v>
      </c>
      <c r="M145" s="2" t="s">
        <v>85</v>
      </c>
      <c r="N145" s="2" t="str">
        <f>""</f>
        <v/>
      </c>
      <c r="O145" s="5" t="s">
        <v>22</v>
      </c>
      <c r="P145" s="10" t="s">
        <v>22</v>
      </c>
      <c r="Q145" s="5" t="s">
        <v>22</v>
      </c>
      <c r="R145" s="5" t="s">
        <v>22</v>
      </c>
      <c r="S145" s="11" t="s">
        <v>23</v>
      </c>
    </row>
    <row r="146" spans="1:19" thickTop="1" thickBot="1" x14ac:dyDescent="0.35">
      <c r="A146" s="3" t="s">
        <v>554</v>
      </c>
      <c r="B146" s="4" t="s">
        <v>555</v>
      </c>
      <c r="C146" s="4">
        <v>1775</v>
      </c>
      <c r="D146" s="5" t="s">
        <v>26</v>
      </c>
      <c r="E146" s="5" t="s">
        <v>42</v>
      </c>
      <c r="F146" s="6">
        <f>142-40</f>
        <v>102</v>
      </c>
      <c r="G146" s="7">
        <v>198</v>
      </c>
      <c r="H146" s="8" t="s">
        <v>18</v>
      </c>
      <c r="I146" s="2">
        <v>1481</v>
      </c>
      <c r="J146" s="9" t="s">
        <v>35</v>
      </c>
      <c r="K146" s="4" t="s">
        <v>556</v>
      </c>
      <c r="L146" s="4" t="s">
        <v>557</v>
      </c>
      <c r="M146" s="2" t="str">
        <f>""</f>
        <v/>
      </c>
      <c r="N146" s="5" t="str">
        <f>""</f>
        <v/>
      </c>
      <c r="O146" s="5" t="s">
        <v>22</v>
      </c>
      <c r="P146" s="10" t="s">
        <v>22</v>
      </c>
      <c r="Q146" s="5" t="s">
        <v>22</v>
      </c>
      <c r="R146" s="2" t="s">
        <v>23</v>
      </c>
      <c r="S146" s="11" t="s">
        <v>23</v>
      </c>
    </row>
    <row r="147" spans="1:19" thickTop="1" thickBot="1" x14ac:dyDescent="0.35">
      <c r="A147" s="3" t="s">
        <v>558</v>
      </c>
      <c r="B147" s="4" t="s">
        <v>250</v>
      </c>
      <c r="C147" s="4">
        <v>1670</v>
      </c>
      <c r="D147" s="5" t="s">
        <v>26</v>
      </c>
      <c r="E147" s="5" t="s">
        <v>42</v>
      </c>
      <c r="F147" s="6">
        <f>227-18</f>
        <v>209</v>
      </c>
      <c r="G147" s="7">
        <v>260</v>
      </c>
      <c r="H147" s="8" t="s">
        <v>18</v>
      </c>
      <c r="I147" s="2">
        <v>3233</v>
      </c>
      <c r="J147" s="9" t="s">
        <v>28</v>
      </c>
      <c r="K147" s="4" t="s">
        <v>559</v>
      </c>
      <c r="L147" s="4" t="s">
        <v>252</v>
      </c>
      <c r="M147" s="4" t="str">
        <f>""</f>
        <v/>
      </c>
      <c r="N147" s="15">
        <v>44642</v>
      </c>
      <c r="O147" s="5" t="s">
        <v>22</v>
      </c>
      <c r="P147" s="10" t="s">
        <v>22</v>
      </c>
      <c r="Q147" s="5" t="s">
        <v>23</v>
      </c>
      <c r="R147" s="2" t="str">
        <f>""</f>
        <v/>
      </c>
      <c r="S147" s="11" t="s">
        <v>23</v>
      </c>
    </row>
    <row r="148" spans="1:19" thickTop="1" thickBot="1" x14ac:dyDescent="0.35">
      <c r="A148" s="3" t="s">
        <v>560</v>
      </c>
      <c r="B148" s="4" t="s">
        <v>32</v>
      </c>
      <c r="C148" s="4">
        <v>1888</v>
      </c>
      <c r="D148" s="5" t="s">
        <v>33</v>
      </c>
      <c r="E148" s="5" t="s">
        <v>34</v>
      </c>
      <c r="F148" s="6">
        <f>236-180</f>
        <v>56</v>
      </c>
      <c r="G148" s="7">
        <f>258/2</f>
        <v>129</v>
      </c>
      <c r="H148" s="8" t="s">
        <v>18</v>
      </c>
      <c r="I148" s="2">
        <v>421</v>
      </c>
      <c r="J148" s="9" t="s">
        <v>35</v>
      </c>
      <c r="K148" s="4" t="s">
        <v>561</v>
      </c>
      <c r="L148" s="4" t="s">
        <v>562</v>
      </c>
      <c r="M148" s="2" t="s">
        <v>563</v>
      </c>
      <c r="N148" s="5" t="str">
        <f>""</f>
        <v/>
      </c>
      <c r="O148" s="5" t="s">
        <v>22</v>
      </c>
      <c r="P148" s="10" t="s">
        <v>22</v>
      </c>
      <c r="Q148" s="5" t="s">
        <v>23</v>
      </c>
      <c r="R148" s="2" t="str">
        <f>""</f>
        <v/>
      </c>
      <c r="S148" s="11" t="s">
        <v>23</v>
      </c>
    </row>
    <row r="149" spans="1:19" thickTop="1" thickBot="1" x14ac:dyDescent="0.35">
      <c r="A149" s="3" t="s">
        <v>564</v>
      </c>
      <c r="B149" s="4" t="s">
        <v>393</v>
      </c>
      <c r="C149" s="4">
        <v>1637</v>
      </c>
      <c r="D149" s="5" t="s">
        <v>26</v>
      </c>
      <c r="E149" s="5" t="s">
        <v>42</v>
      </c>
      <c r="F149" s="6">
        <f>149-40</f>
        <v>109</v>
      </c>
      <c r="G149" s="7">
        <v>244</v>
      </c>
      <c r="H149" s="8" t="s">
        <v>18</v>
      </c>
      <c r="I149" s="2">
        <v>3220</v>
      </c>
      <c r="J149" s="9" t="s">
        <v>28</v>
      </c>
      <c r="K149" s="4" t="s">
        <v>565</v>
      </c>
      <c r="L149" s="4" t="s">
        <v>566</v>
      </c>
      <c r="M149" s="2" t="str">
        <f>""</f>
        <v/>
      </c>
      <c r="N149" s="10">
        <v>44607</v>
      </c>
      <c r="O149" s="5" t="s">
        <v>22</v>
      </c>
      <c r="P149" s="10" t="s">
        <v>22</v>
      </c>
      <c r="Q149" s="5" t="s">
        <v>23</v>
      </c>
      <c r="R149" s="5" t="str">
        <f>""</f>
        <v/>
      </c>
      <c r="S149" s="11" t="s">
        <v>23</v>
      </c>
    </row>
    <row r="150" spans="1:19" thickTop="1" thickBot="1" x14ac:dyDescent="0.35">
      <c r="A150" s="3" t="s">
        <v>567</v>
      </c>
      <c r="B150" s="4" t="s">
        <v>568</v>
      </c>
      <c r="C150" s="4">
        <v>1844</v>
      </c>
      <c r="D150" s="5" t="s">
        <v>16</v>
      </c>
      <c r="E150" s="5" t="s">
        <v>42</v>
      </c>
      <c r="F150" s="6">
        <f>1188-30</f>
        <v>1158</v>
      </c>
      <c r="G150" s="7">
        <v>1268</v>
      </c>
      <c r="H150" s="8" t="s">
        <v>18</v>
      </c>
      <c r="I150" s="2">
        <v>6831</v>
      </c>
      <c r="J150" s="9" t="s">
        <v>28</v>
      </c>
      <c r="K150" s="4" t="s">
        <v>569</v>
      </c>
      <c r="L150" s="4" t="s">
        <v>570</v>
      </c>
      <c r="M150" s="4" t="str">
        <f>""</f>
        <v/>
      </c>
      <c r="N150" s="15">
        <v>44117</v>
      </c>
      <c r="O150" s="5" t="s">
        <v>22</v>
      </c>
      <c r="P150" s="10" t="s">
        <v>22</v>
      </c>
      <c r="Q150" s="5" t="s">
        <v>22</v>
      </c>
      <c r="R150" s="2" t="s">
        <v>22</v>
      </c>
      <c r="S150" s="11" t="s">
        <v>23</v>
      </c>
    </row>
    <row r="151" spans="1:19" thickTop="1" thickBot="1" x14ac:dyDescent="0.35">
      <c r="A151" s="3" t="s">
        <v>571</v>
      </c>
      <c r="B151" s="4" t="s">
        <v>32</v>
      </c>
      <c r="C151" s="4">
        <v>1888</v>
      </c>
      <c r="D151" s="5" t="s">
        <v>33</v>
      </c>
      <c r="E151" s="5" t="s">
        <v>34</v>
      </c>
      <c r="F151" s="6">
        <f>177-64</f>
        <v>113</v>
      </c>
      <c r="G151" s="7">
        <f>258/2</f>
        <v>129</v>
      </c>
      <c r="H151" s="8" t="s">
        <v>18</v>
      </c>
      <c r="I151" s="2">
        <v>421</v>
      </c>
      <c r="J151" s="9" t="s">
        <v>35</v>
      </c>
      <c r="K151" s="4" t="s">
        <v>561</v>
      </c>
      <c r="L151" s="4" t="s">
        <v>562</v>
      </c>
      <c r="M151" s="2" t="s">
        <v>563</v>
      </c>
      <c r="N151" s="5" t="str">
        <f>""</f>
        <v/>
      </c>
      <c r="O151" s="5" t="s">
        <v>22</v>
      </c>
      <c r="P151" s="10" t="s">
        <v>22</v>
      </c>
      <c r="Q151" s="5" t="s">
        <v>23</v>
      </c>
      <c r="R151" s="5" t="str">
        <f>""</f>
        <v/>
      </c>
      <c r="S151" s="11" t="s">
        <v>23</v>
      </c>
    </row>
    <row r="152" spans="1:19" thickTop="1" thickBot="1" x14ac:dyDescent="0.35">
      <c r="A152" s="3" t="s">
        <v>572</v>
      </c>
      <c r="B152" s="4" t="s">
        <v>314</v>
      </c>
      <c r="C152" s="4">
        <v>1832</v>
      </c>
      <c r="D152" s="5" t="s">
        <v>16</v>
      </c>
      <c r="E152" s="5" t="s">
        <v>42</v>
      </c>
      <c r="F152" s="6">
        <v>87</v>
      </c>
      <c r="G152" s="7">
        <f>356/2</f>
        <v>178</v>
      </c>
      <c r="H152" s="8" t="s">
        <v>18</v>
      </c>
      <c r="I152" s="2">
        <v>717</v>
      </c>
      <c r="J152" s="9" t="s">
        <v>28</v>
      </c>
      <c r="K152" s="4" t="s">
        <v>573</v>
      </c>
      <c r="L152" s="4" t="s">
        <v>574</v>
      </c>
      <c r="M152" s="2" t="str">
        <f>""</f>
        <v/>
      </c>
      <c r="N152" s="10">
        <v>43844</v>
      </c>
      <c r="O152" s="5" t="s">
        <v>22</v>
      </c>
      <c r="P152" s="10" t="s">
        <v>22</v>
      </c>
      <c r="Q152" s="5" t="s">
        <v>22</v>
      </c>
      <c r="R152" s="5" t="s">
        <v>23</v>
      </c>
      <c r="S152" s="11" t="s">
        <v>23</v>
      </c>
    </row>
    <row r="153" spans="1:19" thickTop="1" thickBot="1" x14ac:dyDescent="0.35">
      <c r="A153" s="3" t="s">
        <v>575</v>
      </c>
      <c r="B153" s="4" t="s">
        <v>151</v>
      </c>
      <c r="C153" s="4">
        <v>1829</v>
      </c>
      <c r="D153" s="5" t="s">
        <v>16</v>
      </c>
      <c r="E153" s="5" t="s">
        <v>42</v>
      </c>
      <c r="F153" s="6">
        <f>150-58</f>
        <v>92</v>
      </c>
      <c r="G153" s="7">
        <f>290/2</f>
        <v>145</v>
      </c>
      <c r="H153" s="8" t="s">
        <v>60</v>
      </c>
      <c r="I153" s="2">
        <v>6646</v>
      </c>
      <c r="J153" s="9" t="s">
        <v>72</v>
      </c>
      <c r="K153" s="4" t="s">
        <v>516</v>
      </c>
      <c r="L153" s="2" t="s">
        <v>517</v>
      </c>
      <c r="M153" s="2" t="str">
        <f>""</f>
        <v/>
      </c>
      <c r="N153" s="10">
        <v>44013</v>
      </c>
      <c r="O153" s="5" t="s">
        <v>22</v>
      </c>
      <c r="P153" s="10" t="s">
        <v>22</v>
      </c>
      <c r="Q153" s="5" t="s">
        <v>22</v>
      </c>
      <c r="R153" s="5" t="s">
        <v>22</v>
      </c>
      <c r="S153" s="11" t="s">
        <v>23</v>
      </c>
    </row>
    <row r="154" spans="1:19" thickTop="1" thickBot="1" x14ac:dyDescent="0.35">
      <c r="A154" s="3" t="s">
        <v>576</v>
      </c>
      <c r="B154" s="4" t="s">
        <v>577</v>
      </c>
      <c r="C154" s="4">
        <v>2013</v>
      </c>
      <c r="D154" s="5" t="s">
        <v>65</v>
      </c>
      <c r="E154" s="5" t="s">
        <v>42</v>
      </c>
      <c r="F154" s="6">
        <f>2326-2</f>
        <v>2324</v>
      </c>
      <c r="G154" s="7">
        <v>2334</v>
      </c>
      <c r="H154" s="8" t="s">
        <v>578</v>
      </c>
      <c r="I154" s="2" t="str">
        <f>""</f>
        <v/>
      </c>
      <c r="J154" s="9" t="s">
        <v>579</v>
      </c>
      <c r="K154" s="4" t="s">
        <v>580</v>
      </c>
      <c r="L154" s="2" t="str">
        <f>""</f>
        <v/>
      </c>
      <c r="M154" s="2" t="str">
        <f>""</f>
        <v/>
      </c>
      <c r="N154" s="10">
        <v>43586</v>
      </c>
      <c r="O154" s="5" t="s">
        <v>22</v>
      </c>
      <c r="P154" s="10" t="s">
        <v>22</v>
      </c>
      <c r="Q154" s="5" t="s">
        <v>22</v>
      </c>
      <c r="R154" s="2" t="s">
        <v>23</v>
      </c>
      <c r="S154" s="11" t="s">
        <v>23</v>
      </c>
    </row>
    <row r="155" spans="1:19" thickTop="1" thickBot="1" x14ac:dyDescent="0.35">
      <c r="A155" s="3" t="s">
        <v>581</v>
      </c>
      <c r="B155" s="4" t="s">
        <v>288</v>
      </c>
      <c r="C155" s="4">
        <v>1963</v>
      </c>
      <c r="D155" s="5" t="s">
        <v>41</v>
      </c>
      <c r="E155" s="5" t="s">
        <v>42</v>
      </c>
      <c r="F155" s="6">
        <f>538-4</f>
        <v>534</v>
      </c>
      <c r="G155" s="7">
        <v>564</v>
      </c>
      <c r="H155" s="8" t="s">
        <v>18</v>
      </c>
      <c r="I155" s="2">
        <v>376</v>
      </c>
      <c r="J155" s="9" t="s">
        <v>41</v>
      </c>
      <c r="K155" s="4" t="s">
        <v>582</v>
      </c>
      <c r="L155" s="4" t="str">
        <f>""</f>
        <v/>
      </c>
      <c r="M155" s="4" t="str">
        <f>""</f>
        <v/>
      </c>
      <c r="N155" s="10">
        <v>44853</v>
      </c>
      <c r="O155" s="5" t="s">
        <v>22</v>
      </c>
      <c r="P155" s="10" t="s">
        <v>22</v>
      </c>
      <c r="Q155" s="5" t="s">
        <v>23</v>
      </c>
      <c r="R155" s="5" t="str">
        <f>""</f>
        <v/>
      </c>
      <c r="S155" s="11" t="s">
        <v>23</v>
      </c>
    </row>
    <row r="156" spans="1:19" thickTop="1" thickBot="1" x14ac:dyDescent="0.35">
      <c r="A156" s="3" t="s">
        <v>583</v>
      </c>
      <c r="B156" s="4" t="s">
        <v>32</v>
      </c>
      <c r="C156" s="4">
        <v>1887</v>
      </c>
      <c r="D156" s="5" t="s">
        <v>33</v>
      </c>
      <c r="E156" s="5" t="s">
        <v>34</v>
      </c>
      <c r="F156" s="6">
        <f>353-20</f>
        <v>333</v>
      </c>
      <c r="G156" s="7">
        <v>536</v>
      </c>
      <c r="H156" s="8" t="s">
        <v>18</v>
      </c>
      <c r="I156" s="2">
        <v>1619</v>
      </c>
      <c r="J156" s="9" t="s">
        <v>35</v>
      </c>
      <c r="K156" s="4" t="s">
        <v>584</v>
      </c>
      <c r="L156" s="4" t="s">
        <v>585</v>
      </c>
      <c r="M156" s="2" t="s">
        <v>585</v>
      </c>
      <c r="N156" s="10">
        <v>43983</v>
      </c>
      <c r="O156" s="5" t="s">
        <v>22</v>
      </c>
      <c r="P156" s="10" t="s">
        <v>22</v>
      </c>
      <c r="Q156" s="5" t="s">
        <v>22</v>
      </c>
      <c r="R156" s="5" t="s">
        <v>22</v>
      </c>
      <c r="S156" s="11" t="s">
        <v>22</v>
      </c>
    </row>
    <row r="157" spans="1:19" thickTop="1" thickBot="1" x14ac:dyDescent="0.35">
      <c r="A157" s="3" t="s">
        <v>586</v>
      </c>
      <c r="B157" s="4" t="s">
        <v>106</v>
      </c>
      <c r="C157" s="4">
        <v>1887</v>
      </c>
      <c r="D157" s="5" t="s">
        <v>16</v>
      </c>
      <c r="E157" s="5" t="s">
        <v>42</v>
      </c>
      <c r="F157" s="6">
        <f>245-34</f>
        <v>211</v>
      </c>
      <c r="G157" s="7">
        <v>292</v>
      </c>
      <c r="H157" s="8" t="s">
        <v>18</v>
      </c>
      <c r="I157" s="2">
        <v>3242</v>
      </c>
      <c r="J157" s="9" t="s">
        <v>28</v>
      </c>
      <c r="K157" s="4" t="s">
        <v>587</v>
      </c>
      <c r="L157" s="4" t="s">
        <v>588</v>
      </c>
      <c r="M157" s="4" t="str">
        <f>""</f>
        <v/>
      </c>
      <c r="N157" s="10">
        <v>43900</v>
      </c>
      <c r="O157" s="5" t="s">
        <v>22</v>
      </c>
      <c r="P157" s="10" t="s">
        <v>22</v>
      </c>
      <c r="Q157" s="5" t="s">
        <v>22</v>
      </c>
      <c r="R157" s="5" t="s">
        <v>22</v>
      </c>
      <c r="S157" s="11" t="s">
        <v>23</v>
      </c>
    </row>
    <row r="158" spans="1:19" thickTop="1" thickBot="1" x14ac:dyDescent="0.35">
      <c r="A158" s="3" t="s">
        <v>589</v>
      </c>
      <c r="B158" s="4" t="s">
        <v>175</v>
      </c>
      <c r="C158" s="4">
        <v>1866</v>
      </c>
      <c r="D158" s="5" t="s">
        <v>16</v>
      </c>
      <c r="E158" s="5" t="s">
        <v>590</v>
      </c>
      <c r="F158" s="6">
        <f>211-20</f>
        <v>191</v>
      </c>
      <c r="G158" s="7">
        <v>260</v>
      </c>
      <c r="H158" s="8" t="s">
        <v>18</v>
      </c>
      <c r="I158" s="2">
        <v>6587</v>
      </c>
      <c r="J158" s="2" t="s">
        <v>28</v>
      </c>
      <c r="K158" s="4" t="s">
        <v>591</v>
      </c>
      <c r="L158" s="4" t="s">
        <v>592</v>
      </c>
      <c r="M158" s="4" t="s">
        <v>593</v>
      </c>
      <c r="N158" s="10">
        <v>45216</v>
      </c>
      <c r="O158" s="5" t="s">
        <v>22</v>
      </c>
      <c r="P158" s="10" t="s">
        <v>22</v>
      </c>
      <c r="Q158" s="5" t="s">
        <v>22</v>
      </c>
      <c r="R158" s="5" t="s">
        <v>23</v>
      </c>
      <c r="S158" s="11" t="s">
        <v>23</v>
      </c>
    </row>
    <row r="159" spans="1:19" thickTop="1" thickBot="1" x14ac:dyDescent="0.35">
      <c r="A159" s="3" t="s">
        <v>594</v>
      </c>
      <c r="B159" s="4" t="s">
        <v>595</v>
      </c>
      <c r="C159" s="4">
        <v>1943</v>
      </c>
      <c r="D159" s="5" t="s">
        <v>16</v>
      </c>
      <c r="E159" s="5" t="s">
        <v>34</v>
      </c>
      <c r="F159" s="6">
        <f>111-24</f>
        <v>87</v>
      </c>
      <c r="G159" s="7">
        <v>132</v>
      </c>
      <c r="H159" s="8" t="s">
        <v>60</v>
      </c>
      <c r="I159" s="2">
        <v>7309</v>
      </c>
      <c r="J159" s="2" t="str">
        <f>""</f>
        <v/>
      </c>
      <c r="K159" s="4" t="s">
        <v>596</v>
      </c>
      <c r="L159" s="4" t="s">
        <v>597</v>
      </c>
      <c r="M159" s="4" t="s">
        <v>597</v>
      </c>
      <c r="N159" s="10">
        <v>42745</v>
      </c>
      <c r="O159" s="5" t="s">
        <v>22</v>
      </c>
      <c r="P159" s="10" t="s">
        <v>22</v>
      </c>
      <c r="Q159" s="5" t="s">
        <v>22</v>
      </c>
      <c r="R159" s="5" t="s">
        <v>23</v>
      </c>
      <c r="S159" s="11" t="s">
        <v>22</v>
      </c>
    </row>
    <row r="160" spans="1:19" thickTop="1" thickBot="1" x14ac:dyDescent="0.35">
      <c r="A160" s="3" t="s">
        <v>598</v>
      </c>
      <c r="B160" s="4" t="s">
        <v>599</v>
      </c>
      <c r="C160" s="4">
        <v>1947</v>
      </c>
      <c r="D160" s="5" t="s">
        <v>164</v>
      </c>
      <c r="E160" s="5" t="s">
        <v>34</v>
      </c>
      <c r="F160" s="6">
        <f>332-10</f>
        <v>322</v>
      </c>
      <c r="G160" s="7">
        <v>364</v>
      </c>
      <c r="H160" s="8" t="s">
        <v>60</v>
      </c>
      <c r="I160" s="2">
        <v>33061</v>
      </c>
      <c r="J160" s="2" t="str">
        <f>""</f>
        <v/>
      </c>
      <c r="K160" s="4" t="s">
        <v>600</v>
      </c>
      <c r="L160" s="2" t="s">
        <v>601</v>
      </c>
      <c r="M160" s="4" t="s">
        <v>602</v>
      </c>
      <c r="N160" s="15">
        <v>43009</v>
      </c>
      <c r="O160" s="5" t="s">
        <v>22</v>
      </c>
      <c r="P160" s="10" t="s">
        <v>22</v>
      </c>
      <c r="Q160" s="5" t="s">
        <v>22</v>
      </c>
      <c r="R160" s="2" t="s">
        <v>23</v>
      </c>
      <c r="S160" s="11" t="s">
        <v>23</v>
      </c>
    </row>
    <row r="161" spans="1:19" thickTop="1" thickBot="1" x14ac:dyDescent="0.35">
      <c r="A161" s="3" t="s">
        <v>603</v>
      </c>
      <c r="B161" s="4" t="s">
        <v>604</v>
      </c>
      <c r="C161" s="4">
        <v>2011</v>
      </c>
      <c r="D161" s="5" t="s">
        <v>111</v>
      </c>
      <c r="E161" s="5" t="s">
        <v>34</v>
      </c>
      <c r="F161" s="6">
        <f>791-2</f>
        <v>789</v>
      </c>
      <c r="G161" s="7">
        <v>814</v>
      </c>
      <c r="H161" s="8" t="s">
        <v>94</v>
      </c>
      <c r="I161" s="2" t="str">
        <f>""</f>
        <v/>
      </c>
      <c r="J161" s="9" t="str">
        <f>""</f>
        <v/>
      </c>
      <c r="K161" s="4" t="s">
        <v>605</v>
      </c>
      <c r="L161" s="4" t="str">
        <f>""</f>
        <v/>
      </c>
      <c r="M161" s="2" t="s">
        <v>606</v>
      </c>
      <c r="N161" s="5" t="str">
        <f>""</f>
        <v/>
      </c>
      <c r="O161" s="5" t="s">
        <v>22</v>
      </c>
      <c r="P161" s="10" t="s">
        <v>22</v>
      </c>
      <c r="Q161" s="5" t="s">
        <v>23</v>
      </c>
      <c r="R161" s="5" t="str">
        <f>""</f>
        <v/>
      </c>
      <c r="S161" s="11" t="s">
        <v>23</v>
      </c>
    </row>
    <row r="162" spans="1:19" thickTop="1" thickBot="1" x14ac:dyDescent="0.35">
      <c r="A162" s="3" t="s">
        <v>607</v>
      </c>
      <c r="B162" s="4" t="s">
        <v>250</v>
      </c>
      <c r="C162" s="4">
        <v>1673</v>
      </c>
      <c r="D162" s="5" t="s">
        <v>26</v>
      </c>
      <c r="E162" s="5" t="s">
        <v>42</v>
      </c>
      <c r="F162" s="6">
        <f>254-24</f>
        <v>230</v>
      </c>
      <c r="G162" s="7">
        <v>356</v>
      </c>
      <c r="H162" s="8" t="s">
        <v>18</v>
      </c>
      <c r="I162" s="2">
        <v>3300</v>
      </c>
      <c r="J162" s="9" t="s">
        <v>28</v>
      </c>
      <c r="K162" s="4" t="s">
        <v>608</v>
      </c>
      <c r="L162" s="4" t="s">
        <v>252</v>
      </c>
      <c r="M162" s="4" t="str">
        <f>""</f>
        <v/>
      </c>
      <c r="N162" s="10">
        <v>44642</v>
      </c>
      <c r="O162" s="5" t="s">
        <v>22</v>
      </c>
      <c r="P162" s="10" t="s">
        <v>22</v>
      </c>
      <c r="Q162" s="5" t="s">
        <v>22</v>
      </c>
      <c r="R162" s="2" t="s">
        <v>23</v>
      </c>
      <c r="S162" s="11" t="s">
        <v>23</v>
      </c>
    </row>
    <row r="163" spans="1:19" thickTop="1" thickBot="1" x14ac:dyDescent="0.35">
      <c r="A163" s="3" t="s">
        <v>609</v>
      </c>
      <c r="B163" s="4" t="s">
        <v>610</v>
      </c>
      <c r="C163" s="4">
        <v>1930</v>
      </c>
      <c r="D163" s="5" t="s">
        <v>33</v>
      </c>
      <c r="E163" s="5" t="s">
        <v>34</v>
      </c>
      <c r="F163" s="6">
        <f>176-70</f>
        <v>106</v>
      </c>
      <c r="G163" s="7">
        <v>228</v>
      </c>
      <c r="H163" s="8" t="s">
        <v>18</v>
      </c>
      <c r="I163" s="2">
        <v>1440</v>
      </c>
      <c r="J163" s="9" t="s">
        <v>35</v>
      </c>
      <c r="K163" s="4" t="s">
        <v>611</v>
      </c>
      <c r="L163" s="4" t="s">
        <v>386</v>
      </c>
      <c r="M163" s="2" t="s">
        <v>612</v>
      </c>
      <c r="N163" s="15">
        <v>44470</v>
      </c>
      <c r="O163" s="5" t="s">
        <v>22</v>
      </c>
      <c r="P163" s="10" t="s">
        <v>22</v>
      </c>
      <c r="Q163" s="5" t="s">
        <v>23</v>
      </c>
      <c r="R163" s="2" t="str">
        <f>""</f>
        <v/>
      </c>
      <c r="S163" s="11" t="s">
        <v>23</v>
      </c>
    </row>
    <row r="164" spans="1:19" thickTop="1" thickBot="1" x14ac:dyDescent="0.35">
      <c r="A164" s="3" t="s">
        <v>613</v>
      </c>
      <c r="B164" s="4" t="s">
        <v>250</v>
      </c>
      <c r="C164" s="4">
        <v>1666</v>
      </c>
      <c r="D164" s="5" t="s">
        <v>26</v>
      </c>
      <c r="E164" s="5" t="s">
        <v>42</v>
      </c>
      <c r="F164" s="6">
        <f>124-40</f>
        <v>84</v>
      </c>
      <c r="G164" s="7">
        <v>196</v>
      </c>
      <c r="H164" s="8" t="s">
        <v>18</v>
      </c>
      <c r="I164" s="2">
        <v>1642</v>
      </c>
      <c r="J164" s="9" t="s">
        <v>35</v>
      </c>
      <c r="K164" s="4" t="s">
        <v>614</v>
      </c>
      <c r="L164" s="4" t="s">
        <v>615</v>
      </c>
      <c r="M164" s="2" t="str">
        <f>""</f>
        <v/>
      </c>
      <c r="N164" s="5" t="str">
        <f>""</f>
        <v/>
      </c>
      <c r="O164" s="5" t="s">
        <v>22</v>
      </c>
      <c r="P164" s="10" t="s">
        <v>22</v>
      </c>
      <c r="Q164" s="5" t="s">
        <v>23</v>
      </c>
      <c r="R164" s="2" t="str">
        <f>""</f>
        <v/>
      </c>
      <c r="S164" s="11" t="s">
        <v>23</v>
      </c>
    </row>
    <row r="165" spans="1:19" thickTop="1" thickBot="1" x14ac:dyDescent="0.35">
      <c r="A165" s="3" t="s">
        <v>616</v>
      </c>
      <c r="B165" s="4" t="s">
        <v>250</v>
      </c>
      <c r="C165" s="4">
        <v>1666</v>
      </c>
      <c r="D165" s="5" t="s">
        <v>26</v>
      </c>
      <c r="E165" s="5" t="s">
        <v>42</v>
      </c>
      <c r="F165" s="6">
        <f>133-34</f>
        <v>99</v>
      </c>
      <c r="G165" s="7">
        <v>196</v>
      </c>
      <c r="H165" s="8" t="s">
        <v>18</v>
      </c>
      <c r="I165" s="2">
        <v>1513</v>
      </c>
      <c r="J165" s="9" t="s">
        <v>35</v>
      </c>
      <c r="K165" s="4" t="s">
        <v>617</v>
      </c>
      <c r="L165" s="2" t="s">
        <v>618</v>
      </c>
      <c r="M165" s="2" t="str">
        <f>""</f>
        <v/>
      </c>
      <c r="N165" s="10">
        <v>44562</v>
      </c>
      <c r="O165" s="5" t="s">
        <v>22</v>
      </c>
      <c r="P165" s="10" t="s">
        <v>22</v>
      </c>
      <c r="Q165" s="5" t="s">
        <v>23</v>
      </c>
      <c r="R165" s="2" t="str">
        <f>""</f>
        <v/>
      </c>
      <c r="S165" s="11" t="s">
        <v>23</v>
      </c>
    </row>
    <row r="166" spans="1:19" thickTop="1" thickBot="1" x14ac:dyDescent="0.35">
      <c r="A166" s="3" t="s">
        <v>619</v>
      </c>
      <c r="B166" s="4" t="s">
        <v>261</v>
      </c>
      <c r="C166" s="4">
        <v>1942</v>
      </c>
      <c r="D166" s="5" t="s">
        <v>41</v>
      </c>
      <c r="E166" s="5" t="s">
        <v>42</v>
      </c>
      <c r="F166" s="6">
        <f>221-4</f>
        <v>217</v>
      </c>
      <c r="G166" s="7">
        <f>242/3</f>
        <v>80.666666666666671</v>
      </c>
      <c r="H166" s="8" t="s">
        <v>134</v>
      </c>
      <c r="I166" s="2">
        <v>16</v>
      </c>
      <c r="J166" s="9" t="s">
        <v>41</v>
      </c>
      <c r="K166" s="4" t="s">
        <v>262</v>
      </c>
      <c r="L166" s="4" t="str">
        <f>""</f>
        <v/>
      </c>
      <c r="M166" s="2" t="str">
        <f>""</f>
        <v/>
      </c>
      <c r="N166" s="10">
        <v>44833</v>
      </c>
      <c r="O166" s="5" t="s">
        <v>22</v>
      </c>
      <c r="P166" s="10" t="s">
        <v>22</v>
      </c>
      <c r="Q166" s="5" t="s">
        <v>23</v>
      </c>
      <c r="R166" s="2" t="str">
        <f>""</f>
        <v/>
      </c>
      <c r="S166" s="11" t="s">
        <v>23</v>
      </c>
    </row>
    <row r="167" spans="1:19" thickTop="1" thickBot="1" x14ac:dyDescent="0.35">
      <c r="A167" s="3" t="s">
        <v>620</v>
      </c>
      <c r="B167" s="4" t="s">
        <v>314</v>
      </c>
      <c r="C167" s="4">
        <v>1835</v>
      </c>
      <c r="D167" s="5" t="s">
        <v>16</v>
      </c>
      <c r="E167" s="5" t="s">
        <v>42</v>
      </c>
      <c r="F167" s="6">
        <f>354-44</f>
        <v>310</v>
      </c>
      <c r="G167" s="7">
        <v>452</v>
      </c>
      <c r="H167" s="8" t="s">
        <v>60</v>
      </c>
      <c r="I167" s="2">
        <v>757</v>
      </c>
      <c r="J167" s="9" t="s">
        <v>621</v>
      </c>
      <c r="K167" s="4" t="s">
        <v>622</v>
      </c>
      <c r="L167" s="4" t="s">
        <v>623</v>
      </c>
      <c r="M167" s="4" t="str">
        <f>""</f>
        <v/>
      </c>
      <c r="N167" s="15">
        <v>42948</v>
      </c>
      <c r="O167" s="5" t="s">
        <v>22</v>
      </c>
      <c r="P167" s="10" t="s">
        <v>22</v>
      </c>
      <c r="Q167" s="5" t="s">
        <v>23</v>
      </c>
      <c r="R167" s="2" t="str">
        <f>""</f>
        <v/>
      </c>
      <c r="S167" s="11" t="s">
        <v>23</v>
      </c>
    </row>
    <row r="168" spans="1:19" thickTop="1" thickBot="1" x14ac:dyDescent="0.35">
      <c r="A168" s="3" t="s">
        <v>624</v>
      </c>
      <c r="B168" s="4" t="s">
        <v>625</v>
      </c>
      <c r="C168" s="4">
        <v>1532</v>
      </c>
      <c r="D168" s="5" t="s">
        <v>33</v>
      </c>
      <c r="E168" s="5" t="s">
        <v>133</v>
      </c>
      <c r="F168" s="6">
        <f>180-64</f>
        <v>116</v>
      </c>
      <c r="G168" s="7">
        <v>226</v>
      </c>
      <c r="H168" s="8" t="s">
        <v>18</v>
      </c>
      <c r="I168" s="2">
        <v>317</v>
      </c>
      <c r="J168" s="9" t="s">
        <v>35</v>
      </c>
      <c r="K168" s="4" t="s">
        <v>626</v>
      </c>
      <c r="L168" s="4" t="s">
        <v>627</v>
      </c>
      <c r="M168" s="4" t="s">
        <v>627</v>
      </c>
      <c r="N168" s="5" t="str">
        <f>""</f>
        <v/>
      </c>
      <c r="O168" s="5" t="s">
        <v>22</v>
      </c>
      <c r="P168" s="10" t="s">
        <v>22</v>
      </c>
      <c r="Q168" s="5" t="s">
        <v>23</v>
      </c>
      <c r="R168" s="5" t="str">
        <f>""</f>
        <v/>
      </c>
      <c r="S168" s="11" t="s">
        <v>22</v>
      </c>
    </row>
    <row r="169" spans="1:19" thickTop="1" thickBot="1" x14ac:dyDescent="0.35">
      <c r="A169" s="3" t="s">
        <v>628</v>
      </c>
      <c r="B169" s="4" t="s">
        <v>472</v>
      </c>
      <c r="C169" s="4">
        <v>1925</v>
      </c>
      <c r="D169" s="5" t="s">
        <v>16</v>
      </c>
      <c r="E169" s="5" t="s">
        <v>34</v>
      </c>
      <c r="F169" s="6">
        <f>330-26</f>
        <v>304</v>
      </c>
      <c r="G169" s="7">
        <v>468</v>
      </c>
      <c r="H169" s="8" t="s">
        <v>18</v>
      </c>
      <c r="I169" s="2">
        <v>1840</v>
      </c>
      <c r="J169" s="9" t="s">
        <v>28</v>
      </c>
      <c r="K169" s="4" t="s">
        <v>629</v>
      </c>
      <c r="L169" s="4" t="s">
        <v>630</v>
      </c>
      <c r="M169" s="2" t="s">
        <v>631</v>
      </c>
      <c r="N169" s="15">
        <v>44992</v>
      </c>
      <c r="O169" s="5" t="s">
        <v>22</v>
      </c>
      <c r="P169" s="10" t="s">
        <v>22</v>
      </c>
      <c r="Q169" s="5" t="s">
        <v>22</v>
      </c>
      <c r="R169" s="2" t="s">
        <v>23</v>
      </c>
      <c r="S169" s="11" t="s">
        <v>23</v>
      </c>
    </row>
    <row r="170" spans="1:19" thickTop="1" thickBot="1" x14ac:dyDescent="0.35">
      <c r="A170" s="3" t="s">
        <v>632</v>
      </c>
      <c r="B170" s="4" t="s">
        <v>214</v>
      </c>
      <c r="C170" s="4">
        <v>1895</v>
      </c>
      <c r="D170" s="5" t="s">
        <v>41</v>
      </c>
      <c r="E170" s="5" t="s">
        <v>42</v>
      </c>
      <c r="F170" s="6">
        <f>83-81</f>
        <v>2</v>
      </c>
      <c r="G170" s="7">
        <v>37</v>
      </c>
      <c r="H170" s="8" t="s">
        <v>18</v>
      </c>
      <c r="I170" s="2">
        <v>1459</v>
      </c>
      <c r="J170" s="9" t="s">
        <v>35</v>
      </c>
      <c r="K170" s="4" t="s">
        <v>215</v>
      </c>
      <c r="L170" s="4" t="s">
        <v>216</v>
      </c>
      <c r="M170" s="2" t="str">
        <f>""</f>
        <v/>
      </c>
      <c r="N170" s="5" t="str">
        <f>""</f>
        <v/>
      </c>
      <c r="O170" s="5" t="s">
        <v>23</v>
      </c>
      <c r="P170" s="10" t="s">
        <v>22</v>
      </c>
      <c r="Q170" s="5" t="s">
        <v>23</v>
      </c>
      <c r="R170" s="5" t="str">
        <f>""</f>
        <v/>
      </c>
      <c r="S170" s="11" t="s">
        <v>23</v>
      </c>
    </row>
    <row r="171" spans="1:19" thickTop="1" thickBot="1" x14ac:dyDescent="0.35">
      <c r="A171" s="3" t="s">
        <v>633</v>
      </c>
      <c r="B171" s="4" t="s">
        <v>271</v>
      </c>
      <c r="C171" s="4">
        <v>1900</v>
      </c>
      <c r="D171" s="5" t="s">
        <v>33</v>
      </c>
      <c r="E171" s="5" t="s">
        <v>42</v>
      </c>
      <c r="F171" s="6">
        <f>182-54</f>
        <v>128</v>
      </c>
      <c r="G171" s="7">
        <v>276</v>
      </c>
      <c r="H171" s="8" t="s">
        <v>18</v>
      </c>
      <c r="I171" s="2">
        <v>1526</v>
      </c>
      <c r="J171" s="9" t="s">
        <v>35</v>
      </c>
      <c r="K171" s="4" t="s">
        <v>634</v>
      </c>
      <c r="L171" s="4" t="s">
        <v>635</v>
      </c>
      <c r="M171" s="2" t="str">
        <f>""</f>
        <v/>
      </c>
      <c r="N171" s="10">
        <v>44440</v>
      </c>
      <c r="O171" s="5" t="s">
        <v>22</v>
      </c>
      <c r="P171" s="10" t="s">
        <v>22</v>
      </c>
      <c r="Q171" s="5" t="s">
        <v>22</v>
      </c>
      <c r="R171" s="2" t="s">
        <v>22</v>
      </c>
      <c r="S171" s="11" t="s">
        <v>23</v>
      </c>
    </row>
    <row r="172" spans="1:19" thickTop="1" thickBot="1" x14ac:dyDescent="0.35">
      <c r="A172" s="3" t="s">
        <v>636</v>
      </c>
      <c r="B172" s="2" t="s">
        <v>637</v>
      </c>
      <c r="C172" s="2">
        <v>1830</v>
      </c>
      <c r="D172" s="5" t="s">
        <v>16</v>
      </c>
      <c r="E172" s="5" t="s">
        <v>42</v>
      </c>
      <c r="F172" s="6">
        <f>686-68</f>
        <v>618</v>
      </c>
      <c r="G172" s="7">
        <v>868</v>
      </c>
      <c r="H172" s="8" t="s">
        <v>60</v>
      </c>
      <c r="I172" s="2">
        <v>357</v>
      </c>
      <c r="J172" s="2" t="s">
        <v>72</v>
      </c>
      <c r="K172" s="4" t="s">
        <v>638</v>
      </c>
      <c r="L172" s="2" t="s">
        <v>639</v>
      </c>
      <c r="M172" s="2" t="str">
        <f>""</f>
        <v/>
      </c>
      <c r="N172" s="10">
        <v>44562</v>
      </c>
      <c r="O172" s="5" t="s">
        <v>22</v>
      </c>
      <c r="P172" s="10" t="s">
        <v>22</v>
      </c>
      <c r="Q172" s="5" t="s">
        <v>23</v>
      </c>
      <c r="R172" s="2" t="str">
        <f>""</f>
        <v/>
      </c>
      <c r="S172" s="11" t="s">
        <v>23</v>
      </c>
    </row>
    <row r="173" spans="1:19" thickTop="1" thickBot="1" x14ac:dyDescent="0.35">
      <c r="A173" s="3" t="s">
        <v>640</v>
      </c>
      <c r="B173" s="4" t="s">
        <v>420</v>
      </c>
      <c r="C173" s="4">
        <v>650</v>
      </c>
      <c r="D173" s="5" t="s">
        <v>421</v>
      </c>
      <c r="E173" s="5" t="s">
        <v>641</v>
      </c>
      <c r="F173" s="6">
        <f>1091-8</f>
        <v>1083</v>
      </c>
      <c r="G173" s="7">
        <v>1140</v>
      </c>
      <c r="H173" s="8" t="s">
        <v>642</v>
      </c>
      <c r="I173" s="2" t="str">
        <f>""</f>
        <v/>
      </c>
      <c r="J173" s="9" t="str">
        <f>""</f>
        <v/>
      </c>
      <c r="K173" s="4" t="s">
        <v>643</v>
      </c>
      <c r="L173" s="4" t="str">
        <f>""</f>
        <v/>
      </c>
      <c r="M173" s="2" t="str">
        <f>""</f>
        <v/>
      </c>
      <c r="N173" s="13">
        <v>45200</v>
      </c>
      <c r="O173" s="5" t="s">
        <v>22</v>
      </c>
      <c r="P173" s="10" t="s">
        <v>22</v>
      </c>
      <c r="Q173" s="5" t="s">
        <v>23</v>
      </c>
      <c r="R173" s="2" t="str">
        <f>""</f>
        <v/>
      </c>
      <c r="S173" s="11" t="s">
        <v>23</v>
      </c>
    </row>
    <row r="174" spans="1:19" thickTop="1" thickBot="1" x14ac:dyDescent="0.35">
      <c r="A174" s="3" t="s">
        <v>644</v>
      </c>
      <c r="B174" s="4" t="s">
        <v>645</v>
      </c>
      <c r="C174" s="4">
        <v>1558</v>
      </c>
      <c r="D174" s="5" t="s">
        <v>41</v>
      </c>
      <c r="E174" s="5" t="s">
        <v>42</v>
      </c>
      <c r="F174" s="6">
        <f>187-176</f>
        <v>11</v>
      </c>
      <c r="G174" s="7">
        <v>129</v>
      </c>
      <c r="H174" s="8" t="s">
        <v>60</v>
      </c>
      <c r="I174" s="2">
        <v>16107</v>
      </c>
      <c r="J174" s="9" t="s">
        <v>72</v>
      </c>
      <c r="K174" s="4" t="s">
        <v>646</v>
      </c>
      <c r="L174" s="2" t="s">
        <v>647</v>
      </c>
      <c r="M174" s="4" t="str">
        <f>""</f>
        <v/>
      </c>
      <c r="N174" s="10">
        <v>44409</v>
      </c>
      <c r="O174" s="5" t="s">
        <v>22</v>
      </c>
      <c r="P174" s="10" t="s">
        <v>22</v>
      </c>
      <c r="Q174" s="5" t="s">
        <v>23</v>
      </c>
      <c r="R174" s="5" t="str">
        <f>""</f>
        <v/>
      </c>
      <c r="S174" s="11" t="s">
        <v>23</v>
      </c>
    </row>
    <row r="175" spans="1:19" thickTop="1" thickBot="1" x14ac:dyDescent="0.35">
      <c r="A175" s="3" t="s">
        <v>648</v>
      </c>
      <c r="B175" s="4" t="s">
        <v>58</v>
      </c>
      <c r="C175" s="4">
        <v>2009</v>
      </c>
      <c r="D175" s="5" t="s">
        <v>48</v>
      </c>
      <c r="E175" s="5" t="s">
        <v>49</v>
      </c>
      <c r="F175" s="6">
        <v>721</v>
      </c>
      <c r="G175" s="7">
        <v>740</v>
      </c>
      <c r="H175" s="8" t="s">
        <v>59</v>
      </c>
      <c r="I175" s="2">
        <v>32075</v>
      </c>
      <c r="J175" s="9" t="s">
        <v>60</v>
      </c>
      <c r="K175" s="4" t="s">
        <v>649</v>
      </c>
      <c r="L175" s="4" t="str">
        <f>""</f>
        <v/>
      </c>
      <c r="M175" s="2" t="s">
        <v>335</v>
      </c>
      <c r="N175" s="10">
        <v>42224</v>
      </c>
      <c r="O175" s="5" t="s">
        <v>22</v>
      </c>
      <c r="P175" s="10" t="s">
        <v>22</v>
      </c>
      <c r="Q175" s="5" t="s">
        <v>22</v>
      </c>
      <c r="R175" s="2" t="s">
        <v>22</v>
      </c>
      <c r="S175" s="11" t="s">
        <v>23</v>
      </c>
    </row>
    <row r="176" spans="1:19" thickTop="1" thickBot="1" x14ac:dyDescent="0.35">
      <c r="A176" s="3" t="s">
        <v>650</v>
      </c>
      <c r="B176" s="4" t="s">
        <v>250</v>
      </c>
      <c r="C176" s="4">
        <v>1669</v>
      </c>
      <c r="D176" s="5" t="s">
        <v>26</v>
      </c>
      <c r="E176" s="5" t="s">
        <v>42</v>
      </c>
      <c r="F176" s="6">
        <f>158-32</f>
        <v>126</v>
      </c>
      <c r="G176" s="7">
        <v>244</v>
      </c>
      <c r="H176" s="8" t="s">
        <v>18</v>
      </c>
      <c r="I176" s="2">
        <v>3228</v>
      </c>
      <c r="J176" s="2" t="s">
        <v>28</v>
      </c>
      <c r="K176" s="4" t="s">
        <v>651</v>
      </c>
      <c r="L176" s="2" t="s">
        <v>566</v>
      </c>
      <c r="M176" s="2" t="str">
        <f>""</f>
        <v/>
      </c>
      <c r="N176" s="10">
        <v>44708</v>
      </c>
      <c r="O176" s="5" t="s">
        <v>22</v>
      </c>
      <c r="P176" s="10" t="s">
        <v>22</v>
      </c>
      <c r="Q176" s="5" t="s">
        <v>23</v>
      </c>
      <c r="R176" s="5" t="str">
        <f>""</f>
        <v/>
      </c>
      <c r="S176" s="11" t="s">
        <v>23</v>
      </c>
    </row>
    <row r="177" spans="1:19" thickTop="1" thickBot="1" x14ac:dyDescent="0.35">
      <c r="A177" s="3" t="s">
        <v>652</v>
      </c>
      <c r="B177" s="4" t="s">
        <v>653</v>
      </c>
      <c r="C177" s="4">
        <v>1872</v>
      </c>
      <c r="D177" s="5" t="s">
        <v>16</v>
      </c>
      <c r="E177" s="5" t="s">
        <v>42</v>
      </c>
      <c r="F177" s="6">
        <f>126-2</f>
        <v>124</v>
      </c>
      <c r="G177" s="7">
        <v>132</v>
      </c>
      <c r="H177" s="8" t="s">
        <v>654</v>
      </c>
      <c r="I177" s="2" t="str">
        <f>""</f>
        <v/>
      </c>
      <c r="J177" s="9" t="str">
        <f>""</f>
        <v/>
      </c>
      <c r="K177" s="4" t="s">
        <v>655</v>
      </c>
      <c r="L177" s="4" t="str">
        <f>""</f>
        <v/>
      </c>
      <c r="M177" s="2" t="str">
        <f>""</f>
        <v/>
      </c>
      <c r="N177" s="10">
        <v>42005</v>
      </c>
      <c r="O177" s="5" t="s">
        <v>22</v>
      </c>
      <c r="P177" s="10" t="s">
        <v>22</v>
      </c>
      <c r="Q177" s="5" t="s">
        <v>22</v>
      </c>
      <c r="R177" s="2" t="s">
        <v>23</v>
      </c>
      <c r="S177" s="11" t="s">
        <v>22</v>
      </c>
    </row>
    <row r="178" spans="1:19" thickTop="1" thickBot="1" x14ac:dyDescent="0.35">
      <c r="A178" s="3" t="s">
        <v>656</v>
      </c>
      <c r="B178" s="4" t="s">
        <v>98</v>
      </c>
      <c r="C178" s="4">
        <v>1873</v>
      </c>
      <c r="D178" s="5" t="s">
        <v>16</v>
      </c>
      <c r="E178" s="5" t="s">
        <v>42</v>
      </c>
      <c r="F178" s="6">
        <f>499-16</f>
        <v>483</v>
      </c>
      <c r="G178" s="7">
        <v>548</v>
      </c>
      <c r="H178" s="8" t="s">
        <v>60</v>
      </c>
      <c r="I178" s="2">
        <v>277</v>
      </c>
      <c r="J178" s="9" t="s">
        <v>72</v>
      </c>
      <c r="K178" s="4" t="s">
        <v>657</v>
      </c>
      <c r="L178" s="4" t="s">
        <v>658</v>
      </c>
      <c r="M178" s="2" t="str">
        <f>""</f>
        <v/>
      </c>
      <c r="N178" s="10">
        <v>44136</v>
      </c>
      <c r="O178" s="5" t="s">
        <v>22</v>
      </c>
      <c r="P178" s="10" t="s">
        <v>22</v>
      </c>
      <c r="Q178" s="5" t="s">
        <v>23</v>
      </c>
      <c r="R178" s="2" t="str">
        <f>""</f>
        <v/>
      </c>
      <c r="S178" s="11" t="s">
        <v>23</v>
      </c>
    </row>
    <row r="179" spans="1:19" thickTop="1" thickBot="1" x14ac:dyDescent="0.35">
      <c r="A179" s="3" t="s">
        <v>659</v>
      </c>
      <c r="B179" s="4" t="s">
        <v>250</v>
      </c>
      <c r="C179" s="4">
        <v>1662</v>
      </c>
      <c r="D179" s="5" t="s">
        <v>26</v>
      </c>
      <c r="E179" s="5" t="s">
        <v>42</v>
      </c>
      <c r="F179" s="6">
        <f>160-28</f>
        <v>132</v>
      </c>
      <c r="G179" s="7">
        <v>214</v>
      </c>
      <c r="H179" s="8" t="s">
        <v>18</v>
      </c>
      <c r="I179" s="2">
        <v>3377</v>
      </c>
      <c r="J179" s="9" t="s">
        <v>28</v>
      </c>
      <c r="K179" s="4" t="s">
        <v>660</v>
      </c>
      <c r="L179" s="4" t="s">
        <v>566</v>
      </c>
      <c r="M179" s="2" t="str">
        <f>""</f>
        <v/>
      </c>
      <c r="N179" s="10">
        <v>44873</v>
      </c>
      <c r="O179" s="5" t="s">
        <v>22</v>
      </c>
      <c r="P179" s="10" t="s">
        <v>22</v>
      </c>
      <c r="Q179" s="5" t="s">
        <v>23</v>
      </c>
      <c r="R179" s="2" t="str">
        <f>""</f>
        <v/>
      </c>
      <c r="S179" s="11" t="s">
        <v>23</v>
      </c>
    </row>
    <row r="180" spans="1:19" thickTop="1" thickBot="1" x14ac:dyDescent="0.35">
      <c r="A180" s="3" t="s">
        <v>661</v>
      </c>
      <c r="B180" s="4" t="s">
        <v>662</v>
      </c>
      <c r="C180" s="4">
        <v>1869</v>
      </c>
      <c r="D180" s="5" t="s">
        <v>16</v>
      </c>
      <c r="E180" s="5" t="s">
        <v>42</v>
      </c>
      <c r="F180" s="6">
        <f>626-38</f>
        <v>588</v>
      </c>
      <c r="G180" s="7">
        <v>676</v>
      </c>
      <c r="H180" s="8" t="s">
        <v>60</v>
      </c>
      <c r="I180" s="2">
        <v>1499</v>
      </c>
      <c r="J180" s="9" t="s">
        <v>72</v>
      </c>
      <c r="K180" s="4" t="s">
        <v>663</v>
      </c>
      <c r="L180" s="2" t="s">
        <v>664</v>
      </c>
      <c r="M180" s="2" t="str">
        <f>""</f>
        <v/>
      </c>
      <c r="N180" s="10">
        <v>44378</v>
      </c>
      <c r="O180" s="5" t="s">
        <v>22</v>
      </c>
      <c r="P180" s="10" t="s">
        <v>22</v>
      </c>
      <c r="Q180" s="5" t="s">
        <v>23</v>
      </c>
      <c r="R180" s="5" t="str">
        <f>""</f>
        <v/>
      </c>
      <c r="S180" s="11" t="s">
        <v>23</v>
      </c>
    </row>
    <row r="181" spans="1:19" thickTop="1" thickBot="1" x14ac:dyDescent="0.35">
      <c r="A181" s="3" t="s">
        <v>665</v>
      </c>
      <c r="B181" s="4" t="s">
        <v>666</v>
      </c>
      <c r="C181" s="4">
        <v>1931</v>
      </c>
      <c r="D181" s="5" t="s">
        <v>164</v>
      </c>
      <c r="E181" s="5" t="s">
        <v>42</v>
      </c>
      <c r="F181" s="6">
        <f>158-4</f>
        <v>154</v>
      </c>
      <c r="G181" s="7">
        <v>164</v>
      </c>
      <c r="H181" s="8" t="s">
        <v>18</v>
      </c>
      <c r="I181" s="2">
        <v>252</v>
      </c>
      <c r="J181" s="9" t="s">
        <v>19</v>
      </c>
      <c r="K181" s="4" t="s">
        <v>667</v>
      </c>
      <c r="L181" s="2" t="str">
        <f>""</f>
        <v/>
      </c>
      <c r="M181" s="2" t="str">
        <f>""</f>
        <v/>
      </c>
      <c r="N181" s="15">
        <v>39727</v>
      </c>
      <c r="O181" s="5" t="s">
        <v>22</v>
      </c>
      <c r="P181" s="10" t="s">
        <v>22</v>
      </c>
      <c r="Q181" s="18" t="s">
        <v>22</v>
      </c>
      <c r="R181" s="18" t="s">
        <v>23</v>
      </c>
      <c r="S181" s="11" t="s">
        <v>22</v>
      </c>
    </row>
    <row r="182" spans="1:19" thickTop="1" thickBot="1" x14ac:dyDescent="0.35">
      <c r="A182" s="3" t="s">
        <v>668</v>
      </c>
      <c r="B182" s="4" t="s">
        <v>669</v>
      </c>
      <c r="C182" s="4">
        <v>2017</v>
      </c>
      <c r="D182" s="5" t="s">
        <v>111</v>
      </c>
      <c r="E182" s="5" t="s">
        <v>34</v>
      </c>
      <c r="F182" s="6">
        <f>449-0</f>
        <v>449</v>
      </c>
      <c r="G182" s="7">
        <v>496</v>
      </c>
      <c r="H182" s="8" t="s">
        <v>94</v>
      </c>
      <c r="I182" s="2" t="str">
        <f>""</f>
        <v/>
      </c>
      <c r="J182" s="9" t="s">
        <v>95</v>
      </c>
      <c r="K182" s="4" t="s">
        <v>670</v>
      </c>
      <c r="L182" s="4" t="str">
        <f>""</f>
        <v/>
      </c>
      <c r="M182" s="2" t="str">
        <f>""</f>
        <v/>
      </c>
      <c r="N182" s="5" t="str">
        <f>""</f>
        <v/>
      </c>
      <c r="O182" s="5" t="s">
        <v>22</v>
      </c>
      <c r="P182" s="10" t="s">
        <v>22</v>
      </c>
      <c r="Q182" s="5" t="s">
        <v>22</v>
      </c>
      <c r="R182" s="2" t="s">
        <v>22</v>
      </c>
      <c r="S182" s="11" t="s">
        <v>23</v>
      </c>
    </row>
    <row r="183" spans="1:19" thickTop="1" thickBot="1" x14ac:dyDescent="0.35">
      <c r="A183" s="3" t="s">
        <v>671</v>
      </c>
      <c r="B183" s="4" t="s">
        <v>672</v>
      </c>
      <c r="C183" s="4">
        <v>1552</v>
      </c>
      <c r="D183" s="5" t="s">
        <v>41</v>
      </c>
      <c r="E183" s="5" t="s">
        <v>42</v>
      </c>
      <c r="F183" s="6">
        <f>426-38</f>
        <v>388</v>
      </c>
      <c r="G183" s="7">
        <v>708</v>
      </c>
      <c r="H183" s="8" t="s">
        <v>60</v>
      </c>
      <c r="I183" s="2">
        <v>36026</v>
      </c>
      <c r="J183" s="9" t="s">
        <v>72</v>
      </c>
      <c r="K183" s="4" t="s">
        <v>673</v>
      </c>
      <c r="L183" s="4" t="s">
        <v>647</v>
      </c>
      <c r="M183" s="2" t="str">
        <f>""</f>
        <v/>
      </c>
      <c r="N183" s="13">
        <v>44228</v>
      </c>
      <c r="O183" s="5" t="s">
        <v>22</v>
      </c>
      <c r="P183" s="10" t="s">
        <v>22</v>
      </c>
      <c r="Q183" s="5" t="s">
        <v>23</v>
      </c>
      <c r="R183" s="2" t="str">
        <f>""</f>
        <v/>
      </c>
      <c r="S183" s="11" t="s">
        <v>23</v>
      </c>
    </row>
    <row r="184" spans="1:19" thickTop="1" thickBot="1" x14ac:dyDescent="0.35">
      <c r="A184" s="3" t="s">
        <v>674</v>
      </c>
      <c r="B184" s="4" t="s">
        <v>645</v>
      </c>
      <c r="C184" s="4">
        <v>1558</v>
      </c>
      <c r="D184" s="5" t="s">
        <v>41</v>
      </c>
      <c r="E184" s="5" t="s">
        <v>42</v>
      </c>
      <c r="F184" s="6">
        <f>176-156</f>
        <v>20</v>
      </c>
      <c r="G184" s="7">
        <v>130</v>
      </c>
      <c r="H184" s="8" t="s">
        <v>60</v>
      </c>
      <c r="I184" s="2">
        <v>16107</v>
      </c>
      <c r="J184" s="9" t="s">
        <v>72</v>
      </c>
      <c r="K184" s="4" t="s">
        <v>646</v>
      </c>
      <c r="L184" s="4" t="s">
        <v>647</v>
      </c>
      <c r="M184" s="2" t="str">
        <f>""</f>
        <v/>
      </c>
      <c r="N184" s="10">
        <v>44409</v>
      </c>
      <c r="O184" s="5" t="s">
        <v>22</v>
      </c>
      <c r="P184" s="10" t="s">
        <v>22</v>
      </c>
      <c r="Q184" s="5" t="s">
        <v>23</v>
      </c>
      <c r="R184" s="2" t="str">
        <f>""</f>
        <v/>
      </c>
      <c r="S184" s="11" t="s">
        <v>23</v>
      </c>
    </row>
    <row r="185" spans="1:19" thickTop="1" thickBot="1" x14ac:dyDescent="0.35">
      <c r="A185" s="3" t="s">
        <v>675</v>
      </c>
      <c r="B185" s="4" t="s">
        <v>676</v>
      </c>
      <c r="C185" s="4">
        <v>1688</v>
      </c>
      <c r="D185" s="5" t="s">
        <v>33</v>
      </c>
      <c r="E185" s="5" t="s">
        <v>42</v>
      </c>
      <c r="F185" s="6">
        <f>605-114</f>
        <v>491</v>
      </c>
      <c r="G185" s="7">
        <v>648</v>
      </c>
      <c r="H185" s="8" t="s">
        <v>60</v>
      </c>
      <c r="I185" s="2">
        <v>1478</v>
      </c>
      <c r="J185" s="9" t="s">
        <v>72</v>
      </c>
      <c r="K185" s="4" t="s">
        <v>677</v>
      </c>
      <c r="L185" s="4" t="s">
        <v>678</v>
      </c>
      <c r="M185" s="4" t="str">
        <f>""</f>
        <v/>
      </c>
      <c r="N185" s="2" t="s">
        <v>679</v>
      </c>
      <c r="O185" s="5" t="s">
        <v>22</v>
      </c>
      <c r="P185" s="10" t="s">
        <v>22</v>
      </c>
      <c r="Q185" s="5" t="s">
        <v>23</v>
      </c>
      <c r="R185" s="5" t="str">
        <f>""</f>
        <v/>
      </c>
      <c r="S185" s="11" t="s">
        <v>23</v>
      </c>
    </row>
    <row r="186" spans="1:19" thickTop="1" thickBot="1" x14ac:dyDescent="0.35">
      <c r="A186" s="3" t="s">
        <v>680</v>
      </c>
      <c r="B186" s="4" t="s">
        <v>543</v>
      </c>
      <c r="C186" s="4">
        <v>-424</v>
      </c>
      <c r="D186" s="5" t="s">
        <v>26</v>
      </c>
      <c r="E186" s="5" t="s">
        <v>78</v>
      </c>
      <c r="F186" s="6">
        <f>158-44</f>
        <v>114</v>
      </c>
      <c r="G186" s="7">
        <f>342/2</f>
        <v>171</v>
      </c>
      <c r="H186" s="8" t="s">
        <v>18</v>
      </c>
      <c r="I186" s="2">
        <v>1610</v>
      </c>
      <c r="J186" s="2" t="s">
        <v>35</v>
      </c>
      <c r="K186" s="4" t="s">
        <v>544</v>
      </c>
      <c r="L186" s="2" t="s">
        <v>545</v>
      </c>
      <c r="M186" s="4" t="s">
        <v>546</v>
      </c>
      <c r="N186" s="5" t="str">
        <f>""</f>
        <v/>
      </c>
      <c r="O186" s="5" t="s">
        <v>22</v>
      </c>
      <c r="P186" s="10" t="s">
        <v>22</v>
      </c>
      <c r="Q186" s="5" t="s">
        <v>22</v>
      </c>
      <c r="R186" s="2" t="s">
        <v>23</v>
      </c>
      <c r="S186" s="11" t="s">
        <v>23</v>
      </c>
    </row>
    <row r="187" spans="1:19" thickTop="1" thickBot="1" x14ac:dyDescent="0.35">
      <c r="A187" s="3" t="s">
        <v>681</v>
      </c>
      <c r="B187" s="4" t="s">
        <v>453</v>
      </c>
      <c r="C187" s="4">
        <v>1989</v>
      </c>
      <c r="D187" s="5" t="s">
        <v>164</v>
      </c>
      <c r="E187" s="5" t="s">
        <v>71</v>
      </c>
      <c r="F187" s="6">
        <f>310-4</f>
        <v>306</v>
      </c>
      <c r="G187" s="7">
        <v>404</v>
      </c>
      <c r="H187" s="8" t="s">
        <v>454</v>
      </c>
      <c r="I187" s="2">
        <v>1738</v>
      </c>
      <c r="J187" s="9" t="str">
        <f>""</f>
        <v/>
      </c>
      <c r="K187" s="4" t="s">
        <v>682</v>
      </c>
      <c r="L187" s="4" t="str">
        <f>""</f>
        <v/>
      </c>
      <c r="M187" s="2" t="s">
        <v>683</v>
      </c>
      <c r="N187" s="13">
        <v>44866</v>
      </c>
      <c r="O187" s="5" t="s">
        <v>22</v>
      </c>
      <c r="P187" s="10" t="s">
        <v>22</v>
      </c>
      <c r="Q187" s="5" t="s">
        <v>23</v>
      </c>
      <c r="R187" s="2" t="str">
        <f>""</f>
        <v/>
      </c>
      <c r="S187" s="11" t="s">
        <v>22</v>
      </c>
    </row>
    <row r="188" spans="1:19" thickTop="1" thickBot="1" x14ac:dyDescent="0.35">
      <c r="A188" s="3" t="s">
        <v>684</v>
      </c>
      <c r="B188" s="4" t="s">
        <v>151</v>
      </c>
      <c r="C188" s="4">
        <v>1853</v>
      </c>
      <c r="D188" s="5" t="s">
        <v>41</v>
      </c>
      <c r="E188" s="5" t="s">
        <v>42</v>
      </c>
      <c r="F188" s="6">
        <f>384-20</f>
        <v>364</v>
      </c>
      <c r="G188" s="7">
        <v>484</v>
      </c>
      <c r="H188" s="8" t="s">
        <v>60</v>
      </c>
      <c r="I188" s="2">
        <v>1378</v>
      </c>
      <c r="J188" s="9" t="s">
        <v>72</v>
      </c>
      <c r="K188" s="4" t="s">
        <v>685</v>
      </c>
      <c r="L188" s="4" t="s">
        <v>686</v>
      </c>
      <c r="M188" s="2" t="str">
        <f>""</f>
        <v/>
      </c>
      <c r="N188" s="13">
        <v>43617</v>
      </c>
      <c r="O188" s="5" t="s">
        <v>22</v>
      </c>
      <c r="P188" s="10" t="s">
        <v>22</v>
      </c>
      <c r="Q188" s="5" t="s">
        <v>23</v>
      </c>
      <c r="R188" s="5" t="str">
        <f>""</f>
        <v/>
      </c>
      <c r="S188" s="11" t="s">
        <v>23</v>
      </c>
    </row>
    <row r="189" spans="1:19" thickTop="1" thickBot="1" x14ac:dyDescent="0.35">
      <c r="A189" s="3" t="s">
        <v>687</v>
      </c>
      <c r="B189" s="4" t="s">
        <v>151</v>
      </c>
      <c r="C189" s="4">
        <v>1856</v>
      </c>
      <c r="D189" s="5" t="s">
        <v>41</v>
      </c>
      <c r="E189" s="5" t="s">
        <v>42</v>
      </c>
      <c r="F189" s="6">
        <f>421-24</f>
        <v>397</v>
      </c>
      <c r="G189" s="7">
        <v>518</v>
      </c>
      <c r="H189" s="8" t="s">
        <v>134</v>
      </c>
      <c r="I189" s="2">
        <v>91</v>
      </c>
      <c r="J189" s="9" t="s">
        <v>41</v>
      </c>
      <c r="K189" s="4" t="s">
        <v>688</v>
      </c>
      <c r="L189" s="4" t="s">
        <v>689</v>
      </c>
      <c r="M189" s="2" t="str">
        <f>""</f>
        <v/>
      </c>
      <c r="N189" s="15">
        <v>43997</v>
      </c>
      <c r="O189" s="5" t="s">
        <v>22</v>
      </c>
      <c r="P189" s="10" t="s">
        <v>22</v>
      </c>
      <c r="Q189" s="5" t="s">
        <v>22</v>
      </c>
      <c r="R189" s="2" t="s">
        <v>22</v>
      </c>
      <c r="S189" s="11" t="s">
        <v>23</v>
      </c>
    </row>
    <row r="190" spans="1:19" thickTop="1" thickBot="1" x14ac:dyDescent="0.35">
      <c r="A190" s="3" t="s">
        <v>690</v>
      </c>
      <c r="B190" s="4" t="s">
        <v>214</v>
      </c>
      <c r="C190" s="4">
        <v>1895</v>
      </c>
      <c r="D190" s="5" t="s">
        <v>41</v>
      </c>
      <c r="E190" s="5" t="s">
        <v>42</v>
      </c>
      <c r="F190" s="6">
        <f>184-182</f>
        <v>2</v>
      </c>
      <c r="G190" s="7">
        <v>37</v>
      </c>
      <c r="H190" s="8" t="s">
        <v>18</v>
      </c>
      <c r="I190" s="2">
        <v>1459</v>
      </c>
      <c r="J190" s="9" t="s">
        <v>35</v>
      </c>
      <c r="K190" s="4" t="s">
        <v>215</v>
      </c>
      <c r="L190" s="2" t="s">
        <v>216</v>
      </c>
      <c r="M190" s="2" t="str">
        <f>""</f>
        <v/>
      </c>
      <c r="N190" s="2" t="str">
        <f>""</f>
        <v/>
      </c>
      <c r="O190" s="5" t="s">
        <v>23</v>
      </c>
      <c r="P190" s="10" t="s">
        <v>22</v>
      </c>
      <c r="Q190" s="5" t="s">
        <v>23</v>
      </c>
      <c r="R190" s="2" t="str">
        <f>""</f>
        <v/>
      </c>
      <c r="S190" s="11" t="s">
        <v>23</v>
      </c>
    </row>
    <row r="191" spans="1:19" thickTop="1" thickBot="1" x14ac:dyDescent="0.35">
      <c r="A191" s="3" t="s">
        <v>691</v>
      </c>
      <c r="B191" s="4" t="s">
        <v>692</v>
      </c>
      <c r="C191" s="4">
        <v>2016</v>
      </c>
      <c r="D191" s="5" t="s">
        <v>111</v>
      </c>
      <c r="E191" s="5" t="s">
        <v>34</v>
      </c>
      <c r="F191" s="6">
        <f>767-2</f>
        <v>765</v>
      </c>
      <c r="G191" s="7">
        <v>794</v>
      </c>
      <c r="H191" s="8" t="s">
        <v>94</v>
      </c>
      <c r="I191" s="2" t="str">
        <f>""</f>
        <v/>
      </c>
      <c r="J191" s="9" t="s">
        <v>95</v>
      </c>
      <c r="K191" s="4" t="s">
        <v>693</v>
      </c>
      <c r="L191" s="4" t="str">
        <f>""</f>
        <v/>
      </c>
      <c r="M191" s="2" t="str">
        <f>""</f>
        <v/>
      </c>
      <c r="N191" s="5" t="str">
        <f>""</f>
        <v/>
      </c>
      <c r="O191" s="5" t="s">
        <v>22</v>
      </c>
      <c r="P191" s="10" t="s">
        <v>22</v>
      </c>
      <c r="Q191" s="5" t="s">
        <v>23</v>
      </c>
      <c r="R191" s="2" t="str">
        <f>""</f>
        <v/>
      </c>
      <c r="S191" s="11" t="s">
        <v>23</v>
      </c>
    </row>
    <row r="192" spans="1:19" thickTop="1" thickBot="1" x14ac:dyDescent="0.35">
      <c r="A192" s="3" t="s">
        <v>694</v>
      </c>
      <c r="B192" s="4" t="s">
        <v>443</v>
      </c>
      <c r="C192" s="4">
        <v>1737</v>
      </c>
      <c r="D192" s="5" t="s">
        <v>26</v>
      </c>
      <c r="E192" s="5" t="s">
        <v>42</v>
      </c>
      <c r="F192" s="6">
        <f>132-20</f>
        <v>112</v>
      </c>
      <c r="G192" s="7">
        <v>228</v>
      </c>
      <c r="H192" s="8" t="s">
        <v>18</v>
      </c>
      <c r="I192" s="2">
        <v>1497</v>
      </c>
      <c r="J192" s="9" t="s">
        <v>35</v>
      </c>
      <c r="K192" s="4" t="s">
        <v>695</v>
      </c>
      <c r="L192" s="4" t="s">
        <v>696</v>
      </c>
      <c r="M192" s="2" t="str">
        <f>""</f>
        <v/>
      </c>
      <c r="N192" s="10">
        <v>43952</v>
      </c>
      <c r="O192" s="5" t="s">
        <v>22</v>
      </c>
      <c r="P192" s="10" t="s">
        <v>22</v>
      </c>
      <c r="Q192" s="5" t="s">
        <v>23</v>
      </c>
      <c r="R192" s="5" t="str">
        <f>""</f>
        <v/>
      </c>
      <c r="S192" s="11" t="s">
        <v>23</v>
      </c>
    </row>
    <row r="193" spans="1:19" thickTop="1" thickBot="1" x14ac:dyDescent="0.35">
      <c r="A193" s="3" t="s">
        <v>697</v>
      </c>
      <c r="B193" s="4" t="s">
        <v>275</v>
      </c>
      <c r="C193" s="4">
        <v>1857</v>
      </c>
      <c r="D193" s="5" t="s">
        <v>41</v>
      </c>
      <c r="E193" s="5" t="s">
        <v>42</v>
      </c>
      <c r="F193" s="6">
        <f>262-44</f>
        <v>218</v>
      </c>
      <c r="G193" s="7">
        <v>378</v>
      </c>
      <c r="H193" s="8" t="s">
        <v>60</v>
      </c>
      <c r="I193" s="2">
        <v>677</v>
      </c>
      <c r="J193" s="9" t="s">
        <v>72</v>
      </c>
      <c r="K193" s="4" t="s">
        <v>698</v>
      </c>
      <c r="L193" s="4" t="s">
        <v>104</v>
      </c>
      <c r="M193" s="2" t="str">
        <f>""</f>
        <v/>
      </c>
      <c r="N193" s="10">
        <v>43525</v>
      </c>
      <c r="O193" s="5" t="s">
        <v>22</v>
      </c>
      <c r="P193" s="10" t="s">
        <v>22</v>
      </c>
      <c r="Q193" s="5" t="s">
        <v>22</v>
      </c>
      <c r="R193" s="5" t="s">
        <v>22</v>
      </c>
      <c r="S193" s="11" t="s">
        <v>23</v>
      </c>
    </row>
    <row r="194" spans="1:19" thickTop="1" thickBot="1" x14ac:dyDescent="0.35">
      <c r="A194" s="3" t="s">
        <v>699</v>
      </c>
      <c r="B194" s="4" t="s">
        <v>250</v>
      </c>
      <c r="C194" s="4">
        <v>1671</v>
      </c>
      <c r="D194" s="5" t="s">
        <v>26</v>
      </c>
      <c r="E194" s="5" t="s">
        <v>42</v>
      </c>
      <c r="F194" s="6">
        <f>162-14</f>
        <v>148</v>
      </c>
      <c r="G194" s="7">
        <v>196</v>
      </c>
      <c r="H194" s="8" t="s">
        <v>18</v>
      </c>
      <c r="I194" s="2">
        <v>3231</v>
      </c>
      <c r="J194" s="9" t="s">
        <v>28</v>
      </c>
      <c r="K194" s="4" t="s">
        <v>700</v>
      </c>
      <c r="L194" s="4" t="s">
        <v>252</v>
      </c>
      <c r="M194" s="4" t="str">
        <f>""</f>
        <v/>
      </c>
      <c r="N194" s="10">
        <v>44340</v>
      </c>
      <c r="O194" s="5" t="s">
        <v>22</v>
      </c>
      <c r="P194" s="10" t="s">
        <v>22</v>
      </c>
      <c r="Q194" s="5" t="s">
        <v>22</v>
      </c>
      <c r="R194" s="2" t="s">
        <v>22</v>
      </c>
      <c r="S194" s="11" t="s">
        <v>23</v>
      </c>
    </row>
    <row r="195" spans="1:19" thickTop="1" thickBot="1" x14ac:dyDescent="0.35">
      <c r="A195" s="3" t="s">
        <v>701</v>
      </c>
      <c r="B195" s="4" t="s">
        <v>175</v>
      </c>
      <c r="C195" s="4">
        <v>1880</v>
      </c>
      <c r="D195" s="5" t="s">
        <v>16</v>
      </c>
      <c r="E195" s="5" t="s">
        <v>71</v>
      </c>
      <c r="F195" s="6">
        <f>1162-10</f>
        <v>1152</v>
      </c>
      <c r="G195" s="7">
        <v>1228</v>
      </c>
      <c r="H195" s="8" t="s">
        <v>60</v>
      </c>
      <c r="I195" s="2">
        <v>4626</v>
      </c>
      <c r="J195" s="9" t="s">
        <v>72</v>
      </c>
      <c r="K195" s="4" t="s">
        <v>702</v>
      </c>
      <c r="L195" s="4" t="s">
        <v>703</v>
      </c>
      <c r="M195" s="4" t="s">
        <v>704</v>
      </c>
      <c r="N195" s="10">
        <v>44805</v>
      </c>
      <c r="O195" s="5" t="s">
        <v>22</v>
      </c>
      <c r="P195" s="10" t="s">
        <v>22</v>
      </c>
      <c r="Q195" s="5" t="s">
        <v>23</v>
      </c>
      <c r="R195" s="2" t="str">
        <f>""</f>
        <v/>
      </c>
      <c r="S195" s="11" t="s">
        <v>23</v>
      </c>
    </row>
    <row r="196" spans="1:19" thickTop="1" thickBot="1" x14ac:dyDescent="0.35">
      <c r="A196" s="3" t="s">
        <v>705</v>
      </c>
      <c r="B196" s="4" t="s">
        <v>299</v>
      </c>
      <c r="C196" s="4">
        <v>-29</v>
      </c>
      <c r="D196" s="5" t="s">
        <v>41</v>
      </c>
      <c r="E196" s="5" t="s">
        <v>27</v>
      </c>
      <c r="F196" s="6">
        <f>177-32</f>
        <v>145</v>
      </c>
      <c r="G196" s="7">
        <v>276</v>
      </c>
      <c r="H196" s="8" t="s">
        <v>18</v>
      </c>
      <c r="I196" s="2">
        <v>1644</v>
      </c>
      <c r="J196" s="9" t="s">
        <v>35</v>
      </c>
      <c r="K196" s="4" t="s">
        <v>706</v>
      </c>
      <c r="L196" s="4" t="s">
        <v>301</v>
      </c>
      <c r="M196" s="2" t="s">
        <v>285</v>
      </c>
      <c r="N196" s="15">
        <v>44682</v>
      </c>
      <c r="O196" s="5" t="s">
        <v>22</v>
      </c>
      <c r="P196" s="10" t="s">
        <v>22</v>
      </c>
      <c r="Q196" s="5" t="s">
        <v>23</v>
      </c>
      <c r="R196" s="2" t="str">
        <f>""</f>
        <v/>
      </c>
      <c r="S196" s="11" t="s">
        <v>23</v>
      </c>
    </row>
    <row r="197" spans="1:19" thickTop="1" thickBot="1" x14ac:dyDescent="0.35">
      <c r="A197" s="3" t="s">
        <v>707</v>
      </c>
      <c r="B197" s="4" t="s">
        <v>214</v>
      </c>
      <c r="C197" s="4">
        <v>1895</v>
      </c>
      <c r="D197" s="5" t="s">
        <v>41</v>
      </c>
      <c r="E197" s="5" t="s">
        <v>42</v>
      </c>
      <c r="F197" s="6">
        <f>152-150</f>
        <v>2</v>
      </c>
      <c r="G197" s="7">
        <v>37</v>
      </c>
      <c r="H197" s="8" t="s">
        <v>18</v>
      </c>
      <c r="I197" s="2">
        <v>1459</v>
      </c>
      <c r="J197" s="9" t="s">
        <v>35</v>
      </c>
      <c r="K197" s="4" t="s">
        <v>215</v>
      </c>
      <c r="L197" s="4" t="s">
        <v>216</v>
      </c>
      <c r="M197" s="2" t="str">
        <f>""</f>
        <v/>
      </c>
      <c r="N197" s="5" t="str">
        <f>""</f>
        <v/>
      </c>
      <c r="O197" s="5" t="s">
        <v>23</v>
      </c>
      <c r="P197" s="10" t="s">
        <v>22</v>
      </c>
      <c r="Q197" s="5" t="s">
        <v>23</v>
      </c>
      <c r="R197" s="2" t="str">
        <f>""</f>
        <v/>
      </c>
      <c r="S197" s="11" t="s">
        <v>23</v>
      </c>
    </row>
    <row r="198" spans="1:19" thickTop="1" thickBot="1" x14ac:dyDescent="0.35">
      <c r="A198" s="3" t="s">
        <v>708</v>
      </c>
      <c r="B198" s="4" t="s">
        <v>709</v>
      </c>
      <c r="C198" s="4">
        <v>1782</v>
      </c>
      <c r="D198" s="5" t="s">
        <v>16</v>
      </c>
      <c r="E198" s="5" t="s">
        <v>42</v>
      </c>
      <c r="F198" s="6">
        <f>513-44</f>
        <v>469</v>
      </c>
      <c r="G198" s="7">
        <v>580</v>
      </c>
      <c r="H198" s="8" t="s">
        <v>60</v>
      </c>
      <c r="I198" s="2">
        <v>354</v>
      </c>
      <c r="J198" s="9" t="s">
        <v>72</v>
      </c>
      <c r="K198" s="4" t="s">
        <v>710</v>
      </c>
      <c r="L198" s="4" t="s">
        <v>711</v>
      </c>
      <c r="M198" s="4" t="str">
        <f>""</f>
        <v/>
      </c>
      <c r="N198" s="10">
        <v>44287</v>
      </c>
      <c r="O198" s="5" t="s">
        <v>22</v>
      </c>
      <c r="P198" s="10" t="s">
        <v>22</v>
      </c>
      <c r="Q198" s="5" t="s">
        <v>23</v>
      </c>
      <c r="R198" s="5" t="str">
        <f>""</f>
        <v/>
      </c>
      <c r="S198" s="11" t="s">
        <v>23</v>
      </c>
    </row>
    <row r="199" spans="1:19" thickTop="1" thickBot="1" x14ac:dyDescent="0.35">
      <c r="A199" s="3" t="s">
        <v>712</v>
      </c>
      <c r="B199" s="4" t="s">
        <v>531</v>
      </c>
      <c r="C199" s="4">
        <v>1</v>
      </c>
      <c r="D199" s="5" t="s">
        <v>41</v>
      </c>
      <c r="E199" s="5" t="s">
        <v>27</v>
      </c>
      <c r="F199" s="6">
        <f>510-38</f>
        <v>472</v>
      </c>
      <c r="G199" s="7">
        <v>644</v>
      </c>
      <c r="H199" s="8" t="s">
        <v>18</v>
      </c>
      <c r="I199" s="2">
        <v>2404</v>
      </c>
      <c r="J199" s="9" t="s">
        <v>28</v>
      </c>
      <c r="K199" s="4" t="s">
        <v>713</v>
      </c>
      <c r="L199" s="4" t="s">
        <v>714</v>
      </c>
      <c r="M199" s="2" t="s">
        <v>715</v>
      </c>
      <c r="N199" s="10">
        <v>43777</v>
      </c>
      <c r="O199" s="5" t="s">
        <v>22</v>
      </c>
      <c r="P199" s="10" t="s">
        <v>22</v>
      </c>
      <c r="Q199" s="5" t="s">
        <v>22</v>
      </c>
      <c r="R199" s="5" t="s">
        <v>23</v>
      </c>
      <c r="S199" s="11" t="s">
        <v>22</v>
      </c>
    </row>
    <row r="200" spans="1:19" thickTop="1" thickBot="1" x14ac:dyDescent="0.35">
      <c r="A200" s="3" t="s">
        <v>716</v>
      </c>
      <c r="B200" s="4" t="s">
        <v>151</v>
      </c>
      <c r="C200" s="4">
        <v>1861</v>
      </c>
      <c r="D200" s="5" t="s">
        <v>16</v>
      </c>
      <c r="E200" s="5" t="s">
        <v>42</v>
      </c>
      <c r="F200" s="6">
        <v>1232</v>
      </c>
      <c r="G200" s="7">
        <v>1348</v>
      </c>
      <c r="H200" s="8" t="s">
        <v>18</v>
      </c>
      <c r="I200" s="2">
        <v>6368</v>
      </c>
      <c r="J200" s="9" t="s">
        <v>28</v>
      </c>
      <c r="K200" s="4" t="s">
        <v>717</v>
      </c>
      <c r="L200" s="4" t="s">
        <v>718</v>
      </c>
      <c r="M200" s="4" t="str">
        <f>""</f>
        <v/>
      </c>
      <c r="N200" s="10">
        <v>44775</v>
      </c>
      <c r="O200" s="5" t="s">
        <v>22</v>
      </c>
      <c r="P200" s="10" t="s">
        <v>22</v>
      </c>
      <c r="Q200" s="5" t="s">
        <v>22</v>
      </c>
      <c r="R200" s="5" t="s">
        <v>22</v>
      </c>
      <c r="S200" s="11" t="s">
        <v>23</v>
      </c>
    </row>
    <row r="201" spans="1:19" thickTop="1" thickBot="1" x14ac:dyDescent="0.35">
      <c r="A201" s="3" t="s">
        <v>719</v>
      </c>
      <c r="B201" s="4" t="s">
        <v>25</v>
      </c>
      <c r="C201" s="4">
        <v>65</v>
      </c>
      <c r="D201" s="5" t="s">
        <v>26</v>
      </c>
      <c r="E201" s="5" t="s">
        <v>27</v>
      </c>
      <c r="F201" s="6">
        <f>186-148</f>
        <v>38</v>
      </c>
      <c r="G201" s="7">
        <v>111</v>
      </c>
      <c r="H201" s="8" t="s">
        <v>18</v>
      </c>
      <c r="I201" s="2">
        <v>7143</v>
      </c>
      <c r="J201" s="9" t="s">
        <v>28</v>
      </c>
      <c r="K201" s="4" t="s">
        <v>29</v>
      </c>
      <c r="L201" s="4" t="s">
        <v>30</v>
      </c>
      <c r="M201" s="4" t="s">
        <v>30</v>
      </c>
      <c r="N201" s="15">
        <v>44867</v>
      </c>
      <c r="O201" s="5" t="s">
        <v>23</v>
      </c>
      <c r="P201" s="10" t="s">
        <v>22</v>
      </c>
      <c r="Q201" s="5" t="s">
        <v>22</v>
      </c>
      <c r="R201" s="2" t="s">
        <v>23</v>
      </c>
      <c r="S201" s="11" t="s">
        <v>23</v>
      </c>
    </row>
    <row r="202" spans="1:19" thickTop="1" thickBot="1" x14ac:dyDescent="0.35">
      <c r="A202" s="3" t="s">
        <v>720</v>
      </c>
      <c r="B202" s="4" t="s">
        <v>203</v>
      </c>
      <c r="C202" s="4">
        <v>-350</v>
      </c>
      <c r="D202" s="5" t="s">
        <v>33</v>
      </c>
      <c r="E202" s="5" t="s">
        <v>78</v>
      </c>
      <c r="F202" s="6">
        <f>548-100</f>
        <v>448</v>
      </c>
      <c r="G202" s="7">
        <v>594</v>
      </c>
      <c r="H202" s="8" t="s">
        <v>18</v>
      </c>
      <c r="I202" s="2">
        <v>490</v>
      </c>
      <c r="J202" s="9" t="s">
        <v>35</v>
      </c>
      <c r="K202" s="4" t="s">
        <v>721</v>
      </c>
      <c r="L202" s="4" t="s">
        <v>386</v>
      </c>
      <c r="M202" s="2" t="s">
        <v>386</v>
      </c>
      <c r="N202" s="5" t="str">
        <f>""</f>
        <v/>
      </c>
      <c r="O202" s="5" t="s">
        <v>22</v>
      </c>
      <c r="P202" s="10" t="s">
        <v>22</v>
      </c>
      <c r="Q202" s="5" t="s">
        <v>23</v>
      </c>
      <c r="R202" s="2" t="str">
        <f>""</f>
        <v/>
      </c>
      <c r="S202" s="11" t="s">
        <v>23</v>
      </c>
    </row>
    <row r="203" spans="1:19" thickTop="1" thickBot="1" x14ac:dyDescent="0.35">
      <c r="A203" s="3" t="s">
        <v>722</v>
      </c>
      <c r="B203" s="4" t="s">
        <v>645</v>
      </c>
      <c r="C203" s="4">
        <v>1558</v>
      </c>
      <c r="D203" s="5" t="s">
        <v>41</v>
      </c>
      <c r="E203" s="5" t="s">
        <v>42</v>
      </c>
      <c r="F203" s="6">
        <f>155-50</f>
        <v>105</v>
      </c>
      <c r="G203" s="7">
        <v>129</v>
      </c>
      <c r="H203" s="8" t="s">
        <v>60</v>
      </c>
      <c r="I203" s="2">
        <v>16107</v>
      </c>
      <c r="J203" s="9" t="s">
        <v>72</v>
      </c>
      <c r="K203" s="4" t="s">
        <v>646</v>
      </c>
      <c r="L203" s="4" t="s">
        <v>647</v>
      </c>
      <c r="M203" s="2" t="str">
        <f>""</f>
        <v/>
      </c>
      <c r="N203" s="15">
        <v>44409</v>
      </c>
      <c r="O203" s="5" t="s">
        <v>22</v>
      </c>
      <c r="P203" s="10" t="s">
        <v>22</v>
      </c>
      <c r="Q203" s="5" t="s">
        <v>23</v>
      </c>
      <c r="R203" s="2" t="str">
        <f>""</f>
        <v/>
      </c>
      <c r="S203" s="11" t="s">
        <v>23</v>
      </c>
    </row>
    <row r="204" spans="1:19" thickTop="1" thickBot="1" x14ac:dyDescent="0.35">
      <c r="A204" s="3" t="s">
        <v>723</v>
      </c>
      <c r="B204" s="4" t="s">
        <v>245</v>
      </c>
      <c r="C204" s="4">
        <v>1778</v>
      </c>
      <c r="D204" s="5" t="s">
        <v>33</v>
      </c>
      <c r="E204" s="5" t="s">
        <v>42</v>
      </c>
      <c r="F204" s="6">
        <f>171-32</f>
        <v>139</v>
      </c>
      <c r="G204" s="7">
        <v>244</v>
      </c>
      <c r="H204" s="8" t="s">
        <v>18</v>
      </c>
      <c r="I204" s="2">
        <v>1296</v>
      </c>
      <c r="J204" s="9" t="s">
        <v>35</v>
      </c>
      <c r="K204" s="4" t="s">
        <v>724</v>
      </c>
      <c r="L204" s="4" t="s">
        <v>725</v>
      </c>
      <c r="M204" s="2" t="str">
        <f>""</f>
        <v/>
      </c>
      <c r="N204" s="5" t="str">
        <f>""</f>
        <v/>
      </c>
      <c r="O204" s="5" t="s">
        <v>22</v>
      </c>
      <c r="P204" s="10" t="s">
        <v>22</v>
      </c>
      <c r="Q204" s="5" t="s">
        <v>23</v>
      </c>
      <c r="R204" s="2" t="str">
        <f>""</f>
        <v/>
      </c>
      <c r="S204" s="11" t="s">
        <v>23</v>
      </c>
    </row>
    <row r="205" spans="1:19" thickTop="1" thickBot="1" x14ac:dyDescent="0.35">
      <c r="A205" s="3" t="s">
        <v>726</v>
      </c>
      <c r="B205" s="4" t="s">
        <v>308</v>
      </c>
      <c r="C205" s="4">
        <v>1716</v>
      </c>
      <c r="D205" s="5" t="s">
        <v>41</v>
      </c>
      <c r="E205" s="5" t="s">
        <v>42</v>
      </c>
      <c r="F205" s="6">
        <f>163-56</f>
        <v>107</v>
      </c>
      <c r="G205" s="7">
        <v>118</v>
      </c>
      <c r="H205" s="8" t="s">
        <v>134</v>
      </c>
      <c r="I205" s="2">
        <v>195</v>
      </c>
      <c r="J205" s="9" t="s">
        <v>41</v>
      </c>
      <c r="K205" s="4" t="s">
        <v>309</v>
      </c>
      <c r="L205" s="4" t="s">
        <v>310</v>
      </c>
      <c r="M205" s="4" t="str">
        <f>""</f>
        <v/>
      </c>
      <c r="N205" s="10">
        <v>44237</v>
      </c>
      <c r="O205" s="5" t="s">
        <v>22</v>
      </c>
      <c r="P205" s="10" t="s">
        <v>22</v>
      </c>
      <c r="Q205" s="5" t="s">
        <v>23</v>
      </c>
      <c r="R205" s="2" t="str">
        <f>""</f>
        <v/>
      </c>
      <c r="S205" s="11" t="s">
        <v>23</v>
      </c>
    </row>
    <row r="206" spans="1:19" thickTop="1" thickBot="1" x14ac:dyDescent="0.35">
      <c r="A206" s="3" t="s">
        <v>727</v>
      </c>
      <c r="B206" s="4" t="s">
        <v>115</v>
      </c>
      <c r="C206" s="4">
        <v>-600</v>
      </c>
      <c r="D206" s="5" t="s">
        <v>41</v>
      </c>
      <c r="E206" s="5" t="s">
        <v>78</v>
      </c>
      <c r="F206" s="6">
        <f>144-94</f>
        <v>50</v>
      </c>
      <c r="G206" s="7">
        <v>106</v>
      </c>
      <c r="H206" s="8" t="s">
        <v>18</v>
      </c>
      <c r="I206" s="2">
        <v>3467</v>
      </c>
      <c r="J206" s="9" t="s">
        <v>28</v>
      </c>
      <c r="K206" s="4" t="s">
        <v>116</v>
      </c>
      <c r="L206" s="4" t="s">
        <v>117</v>
      </c>
      <c r="M206" s="2" t="s">
        <v>117</v>
      </c>
      <c r="N206" s="10">
        <v>44152</v>
      </c>
      <c r="O206" s="5" t="s">
        <v>22</v>
      </c>
      <c r="P206" s="10" t="s">
        <v>22</v>
      </c>
      <c r="Q206" s="5" t="s">
        <v>23</v>
      </c>
      <c r="R206" s="2" t="str">
        <f>""</f>
        <v/>
      </c>
      <c r="S206" s="11" t="s">
        <v>23</v>
      </c>
    </row>
    <row r="207" spans="1:19" thickTop="1" thickBot="1" x14ac:dyDescent="0.35">
      <c r="A207" s="3" t="s">
        <v>728</v>
      </c>
      <c r="B207" s="4" t="s">
        <v>568</v>
      </c>
      <c r="C207" s="4">
        <v>1844</v>
      </c>
      <c r="D207" s="5" t="s">
        <v>16</v>
      </c>
      <c r="E207" s="5" t="s">
        <v>42</v>
      </c>
      <c r="F207" s="6">
        <f>989-14</f>
        <v>975</v>
      </c>
      <c r="G207" s="7">
        <v>1108</v>
      </c>
      <c r="H207" s="8" t="s">
        <v>18</v>
      </c>
      <c r="I207" s="2">
        <v>3511</v>
      </c>
      <c r="J207" s="9" t="s">
        <v>28</v>
      </c>
      <c r="K207" s="4" t="s">
        <v>729</v>
      </c>
      <c r="L207" s="4" t="s">
        <v>730</v>
      </c>
      <c r="M207" s="4" t="str">
        <f>""</f>
        <v/>
      </c>
      <c r="N207" s="10">
        <v>44278</v>
      </c>
      <c r="O207" s="5" t="s">
        <v>22</v>
      </c>
      <c r="P207" s="10" t="s">
        <v>22</v>
      </c>
      <c r="Q207" s="5" t="s">
        <v>23</v>
      </c>
      <c r="R207" s="5" t="str">
        <f>""</f>
        <v/>
      </c>
      <c r="S207" s="11" t="s">
        <v>23</v>
      </c>
    </row>
    <row r="208" spans="1:19" thickTop="1" thickBot="1" x14ac:dyDescent="0.35">
      <c r="A208" s="3" t="s">
        <v>731</v>
      </c>
      <c r="B208" s="4" t="s">
        <v>25</v>
      </c>
      <c r="C208" s="4">
        <v>43</v>
      </c>
      <c r="D208" s="5" t="s">
        <v>26</v>
      </c>
      <c r="E208" s="5" t="s">
        <v>27</v>
      </c>
      <c r="F208" s="6">
        <f>695-626</f>
        <v>69</v>
      </c>
      <c r="G208" s="7">
        <v>111</v>
      </c>
      <c r="H208" s="8" t="s">
        <v>18</v>
      </c>
      <c r="I208" s="2">
        <v>7143</v>
      </c>
      <c r="J208" s="9" t="s">
        <v>28</v>
      </c>
      <c r="K208" s="4" t="s">
        <v>29</v>
      </c>
      <c r="L208" s="2" t="s">
        <v>30</v>
      </c>
      <c r="M208" s="4" t="s">
        <v>30</v>
      </c>
      <c r="N208" s="10">
        <v>44867</v>
      </c>
      <c r="O208" s="5" t="s">
        <v>23</v>
      </c>
      <c r="P208" s="10" t="s">
        <v>22</v>
      </c>
      <c r="Q208" s="5" t="s">
        <v>22</v>
      </c>
      <c r="R208" s="5" t="s">
        <v>22</v>
      </c>
      <c r="S208" s="11" t="s">
        <v>23</v>
      </c>
    </row>
    <row r="209" spans="1:19" thickTop="1" thickBot="1" x14ac:dyDescent="0.35">
      <c r="A209" s="3" t="s">
        <v>732</v>
      </c>
      <c r="B209" s="4" t="s">
        <v>733</v>
      </c>
      <c r="C209" s="4">
        <v>1924</v>
      </c>
      <c r="D209" s="5" t="s">
        <v>41</v>
      </c>
      <c r="E209" s="5" t="s">
        <v>255</v>
      </c>
      <c r="F209" s="6">
        <f>311-96</f>
        <v>215</v>
      </c>
      <c r="G209" s="7">
        <f>340/2</f>
        <v>170</v>
      </c>
      <c r="H209" s="8" t="s">
        <v>134</v>
      </c>
      <c r="I209" s="2">
        <v>320</v>
      </c>
      <c r="J209" s="9" t="s">
        <v>41</v>
      </c>
      <c r="K209" s="4" t="s">
        <v>734</v>
      </c>
      <c r="L209" s="4" t="str">
        <f>""</f>
        <v/>
      </c>
      <c r="M209" s="4" t="s">
        <v>735</v>
      </c>
      <c r="N209" s="15">
        <v>44461</v>
      </c>
      <c r="O209" s="5" t="s">
        <v>22</v>
      </c>
      <c r="P209" s="10" t="s">
        <v>22</v>
      </c>
      <c r="Q209" s="5" t="s">
        <v>22</v>
      </c>
      <c r="R209" s="2" t="s">
        <v>22</v>
      </c>
      <c r="S209" s="11" t="s">
        <v>23</v>
      </c>
    </row>
    <row r="210" spans="1:19" thickTop="1" thickBot="1" x14ac:dyDescent="0.35">
      <c r="A210" s="3" t="s">
        <v>736</v>
      </c>
      <c r="B210" s="4" t="s">
        <v>737</v>
      </c>
      <c r="C210" s="4">
        <v>1721</v>
      </c>
      <c r="D210" s="5" t="s">
        <v>16</v>
      </c>
      <c r="E210" s="5" t="s">
        <v>738</v>
      </c>
      <c r="F210" s="6">
        <f>387-60</f>
        <v>327</v>
      </c>
      <c r="G210" s="7">
        <v>434</v>
      </c>
      <c r="H210" s="8" t="s">
        <v>18</v>
      </c>
      <c r="I210" s="2">
        <v>969</v>
      </c>
      <c r="J210" s="9" t="s">
        <v>35</v>
      </c>
      <c r="K210" s="4" t="s">
        <v>739</v>
      </c>
      <c r="L210" s="2" t="s">
        <v>740</v>
      </c>
      <c r="M210" s="2" t="s">
        <v>741</v>
      </c>
      <c r="N210" s="5" t="str">
        <f>""</f>
        <v/>
      </c>
      <c r="O210" s="5" t="s">
        <v>22</v>
      </c>
      <c r="P210" s="10" t="s">
        <v>22</v>
      </c>
      <c r="Q210" s="5" t="s">
        <v>23</v>
      </c>
      <c r="R210" s="2" t="str">
        <f>""</f>
        <v/>
      </c>
      <c r="S210" s="11" t="s">
        <v>23</v>
      </c>
    </row>
    <row r="211" spans="1:19" thickTop="1" thickBot="1" x14ac:dyDescent="0.35">
      <c r="A211" s="3" t="s">
        <v>742</v>
      </c>
      <c r="B211" s="4" t="s">
        <v>500</v>
      </c>
      <c r="C211" s="4">
        <v>1936</v>
      </c>
      <c r="D211" s="5" t="s">
        <v>41</v>
      </c>
      <c r="E211" s="5" t="s">
        <v>42</v>
      </c>
      <c r="F211" s="6">
        <f>244-184</f>
        <v>60</v>
      </c>
      <c r="G211" s="7">
        <v>86</v>
      </c>
      <c r="H211" s="8" t="s">
        <v>134</v>
      </c>
      <c r="I211" s="2">
        <v>18</v>
      </c>
      <c r="J211" s="9" t="s">
        <v>41</v>
      </c>
      <c r="K211" s="4" t="s">
        <v>501</v>
      </c>
      <c r="L211" s="4" t="str">
        <f>""</f>
        <v/>
      </c>
      <c r="M211" s="4" t="str">
        <f>""</f>
        <v/>
      </c>
      <c r="N211" s="10">
        <v>44661</v>
      </c>
      <c r="O211" s="5" t="s">
        <v>22</v>
      </c>
      <c r="P211" s="10" t="s">
        <v>22</v>
      </c>
      <c r="Q211" s="5" t="s">
        <v>23</v>
      </c>
      <c r="R211" s="2" t="str">
        <f>""</f>
        <v/>
      </c>
      <c r="S211" s="11" t="s">
        <v>23</v>
      </c>
    </row>
    <row r="212" spans="1:19" thickTop="1" thickBot="1" x14ac:dyDescent="0.35">
      <c r="A212" s="3" t="s">
        <v>743</v>
      </c>
      <c r="B212" s="4" t="s">
        <v>744</v>
      </c>
      <c r="C212" s="4">
        <v>1677</v>
      </c>
      <c r="D212" s="5" t="s">
        <v>33</v>
      </c>
      <c r="E212" s="5" t="s">
        <v>745</v>
      </c>
      <c r="F212" s="6">
        <f>388-60</f>
        <v>328</v>
      </c>
      <c r="G212" s="7">
        <v>406</v>
      </c>
      <c r="H212" s="8" t="s">
        <v>18</v>
      </c>
      <c r="I212" s="2">
        <v>235</v>
      </c>
      <c r="J212" s="9" t="s">
        <v>746</v>
      </c>
      <c r="K212" s="4" t="s">
        <v>747</v>
      </c>
      <c r="L212" s="2" t="s">
        <v>748</v>
      </c>
      <c r="M212" s="2" t="s">
        <v>748</v>
      </c>
      <c r="N212" s="10">
        <v>44363</v>
      </c>
      <c r="O212" s="5" t="s">
        <v>22</v>
      </c>
      <c r="P212" s="10" t="s">
        <v>22</v>
      </c>
      <c r="Q212" s="5" t="s">
        <v>23</v>
      </c>
      <c r="R212" s="5" t="str">
        <f>""</f>
        <v/>
      </c>
      <c r="S212" s="11" t="s">
        <v>23</v>
      </c>
    </row>
    <row r="213" spans="1:19" thickTop="1" thickBot="1" x14ac:dyDescent="0.35">
      <c r="A213" s="3" t="s">
        <v>749</v>
      </c>
      <c r="B213" s="4" t="s">
        <v>750</v>
      </c>
      <c r="C213" s="4">
        <v>1942</v>
      </c>
      <c r="D213" s="5" t="s">
        <v>16</v>
      </c>
      <c r="E213" s="5" t="s">
        <v>42</v>
      </c>
      <c r="F213" s="6">
        <f>184-4</f>
        <v>180</v>
      </c>
      <c r="G213" s="7">
        <v>196</v>
      </c>
      <c r="H213" s="8" t="s">
        <v>18</v>
      </c>
      <c r="I213" s="2">
        <v>2</v>
      </c>
      <c r="J213" s="9" t="s">
        <v>19</v>
      </c>
      <c r="K213" s="4" t="s">
        <v>751</v>
      </c>
      <c r="L213" s="4" t="str">
        <f>""</f>
        <v/>
      </c>
      <c r="M213" s="4" t="str">
        <f>""</f>
        <v/>
      </c>
      <c r="N213" s="15">
        <v>44012</v>
      </c>
      <c r="O213" s="5" t="s">
        <v>22</v>
      </c>
      <c r="P213" s="10" t="s">
        <v>22</v>
      </c>
      <c r="Q213" s="5" t="s">
        <v>22</v>
      </c>
      <c r="R213" s="5" t="s">
        <v>23</v>
      </c>
      <c r="S213" s="11" t="s">
        <v>23</v>
      </c>
    </row>
    <row r="214" spans="1:19" thickTop="1" thickBot="1" x14ac:dyDescent="0.35">
      <c r="A214" s="3" t="s">
        <v>752</v>
      </c>
      <c r="B214" s="4" t="s">
        <v>753</v>
      </c>
      <c r="C214" s="4">
        <v>260</v>
      </c>
      <c r="D214" s="5" t="s">
        <v>33</v>
      </c>
      <c r="E214" s="5" t="s">
        <v>78</v>
      </c>
      <c r="F214" s="6">
        <f>166-144</f>
        <v>22</v>
      </c>
      <c r="G214" s="7">
        <f>260/2</f>
        <v>130</v>
      </c>
      <c r="H214" s="8" t="s">
        <v>18</v>
      </c>
      <c r="I214" s="2">
        <v>1651</v>
      </c>
      <c r="J214" s="9" t="s">
        <v>35</v>
      </c>
      <c r="K214" s="4" t="s">
        <v>754</v>
      </c>
      <c r="L214" s="4" t="s">
        <v>755</v>
      </c>
      <c r="M214" s="4" t="s">
        <v>755</v>
      </c>
      <c r="N214" s="2" t="str">
        <f>""</f>
        <v/>
      </c>
      <c r="O214" s="5" t="s">
        <v>22</v>
      </c>
      <c r="P214" s="10" t="s">
        <v>22</v>
      </c>
      <c r="Q214" s="5" t="s">
        <v>22</v>
      </c>
      <c r="R214" s="5" t="s">
        <v>23</v>
      </c>
      <c r="S214" s="11" t="s">
        <v>23</v>
      </c>
    </row>
    <row r="215" spans="1:19" thickTop="1" thickBot="1" x14ac:dyDescent="0.35">
      <c r="A215" s="3" t="s">
        <v>756</v>
      </c>
      <c r="B215" s="4" t="s">
        <v>757</v>
      </c>
      <c r="C215" s="4">
        <v>-296</v>
      </c>
      <c r="D215" s="5" t="s">
        <v>33</v>
      </c>
      <c r="E215" s="5" t="s">
        <v>78</v>
      </c>
      <c r="F215" s="6">
        <f>72-40</f>
        <v>32</v>
      </c>
      <c r="G215" s="7">
        <v>116</v>
      </c>
      <c r="H215" s="8" t="s">
        <v>18</v>
      </c>
      <c r="I215" s="2">
        <v>1274</v>
      </c>
      <c r="J215" s="9" t="s">
        <v>35</v>
      </c>
      <c r="K215" s="4" t="s">
        <v>758</v>
      </c>
      <c r="L215" s="4" t="s">
        <v>759</v>
      </c>
      <c r="M215" s="4" t="s">
        <v>759</v>
      </c>
      <c r="N215" s="2" t="str">
        <f>""</f>
        <v/>
      </c>
      <c r="O215" s="5" t="s">
        <v>22</v>
      </c>
      <c r="P215" s="10" t="s">
        <v>22</v>
      </c>
      <c r="Q215" s="5" t="s">
        <v>22</v>
      </c>
      <c r="R215" s="5" t="s">
        <v>22</v>
      </c>
      <c r="S215" s="11" t="s">
        <v>23</v>
      </c>
    </row>
    <row r="216" spans="1:19" thickTop="1" thickBot="1" x14ac:dyDescent="0.35">
      <c r="A216" s="3" t="s">
        <v>760</v>
      </c>
      <c r="B216" s="4" t="s">
        <v>283</v>
      </c>
      <c r="C216" s="4">
        <v>1509</v>
      </c>
      <c r="D216" s="5" t="s">
        <v>33</v>
      </c>
      <c r="E216" s="5" t="s">
        <v>27</v>
      </c>
      <c r="F216" s="6">
        <f>126-94</f>
        <v>32</v>
      </c>
      <c r="G216" s="7">
        <f>194/2</f>
        <v>97</v>
      </c>
      <c r="H216" s="8" t="s">
        <v>18</v>
      </c>
      <c r="I216" s="2">
        <v>36</v>
      </c>
      <c r="J216" s="9" t="s">
        <v>35</v>
      </c>
      <c r="K216" s="4" t="s">
        <v>284</v>
      </c>
      <c r="L216" s="4" t="s">
        <v>285</v>
      </c>
      <c r="M216" s="2" t="s">
        <v>286</v>
      </c>
      <c r="N216" s="5" t="str">
        <f>""</f>
        <v/>
      </c>
      <c r="O216" s="5" t="s">
        <v>22</v>
      </c>
      <c r="P216" s="10" t="s">
        <v>22</v>
      </c>
      <c r="Q216" s="5" t="s">
        <v>22</v>
      </c>
      <c r="R216" s="5" t="s">
        <v>22</v>
      </c>
      <c r="S216" s="11" t="s">
        <v>23</v>
      </c>
    </row>
    <row r="217" spans="1:19" thickTop="1" thickBot="1" x14ac:dyDescent="0.35">
      <c r="A217" s="3" t="s">
        <v>761</v>
      </c>
      <c r="B217" s="4" t="s">
        <v>762</v>
      </c>
      <c r="C217" s="4">
        <v>1869</v>
      </c>
      <c r="D217" s="5" t="s">
        <v>164</v>
      </c>
      <c r="E217" s="5" t="s">
        <v>42</v>
      </c>
      <c r="F217" s="6">
        <f>316-32</f>
        <v>284</v>
      </c>
      <c r="G217" s="7">
        <v>372</v>
      </c>
      <c r="H217" s="8" t="s">
        <v>18</v>
      </c>
      <c r="I217" s="2">
        <v>3239</v>
      </c>
      <c r="J217" s="9" t="s">
        <v>28</v>
      </c>
      <c r="K217" s="4" t="s">
        <v>763</v>
      </c>
      <c r="L217" s="4" t="s">
        <v>764</v>
      </c>
      <c r="M217" s="4" t="str">
        <f>""</f>
        <v/>
      </c>
      <c r="N217" s="10">
        <v>44942</v>
      </c>
      <c r="O217" s="5" t="s">
        <v>22</v>
      </c>
      <c r="P217" s="10" t="s">
        <v>22</v>
      </c>
      <c r="Q217" s="5" t="s">
        <v>22</v>
      </c>
      <c r="R217" s="2" t="s">
        <v>23</v>
      </c>
      <c r="S217" s="11" t="s">
        <v>23</v>
      </c>
    </row>
    <row r="218" spans="1:19" thickTop="1" thickBot="1" x14ac:dyDescent="0.35">
      <c r="A218" s="3" t="s">
        <v>765</v>
      </c>
      <c r="B218" s="4" t="s">
        <v>766</v>
      </c>
      <c r="C218" s="4">
        <v>1721</v>
      </c>
      <c r="D218" s="5" t="s">
        <v>16</v>
      </c>
      <c r="E218" s="5" t="s">
        <v>42</v>
      </c>
      <c r="F218" s="6">
        <f>365-32</f>
        <v>333</v>
      </c>
      <c r="G218" s="7">
        <v>452</v>
      </c>
      <c r="H218" s="8" t="s">
        <v>18</v>
      </c>
      <c r="I218" s="2">
        <v>1482</v>
      </c>
      <c r="J218" s="9" t="s">
        <v>35</v>
      </c>
      <c r="K218" s="4" t="s">
        <v>767</v>
      </c>
      <c r="L218" s="4" t="s">
        <v>768</v>
      </c>
      <c r="M218" s="4" t="s">
        <v>768</v>
      </c>
      <c r="N218" s="15">
        <v>43709</v>
      </c>
      <c r="O218" s="5" t="s">
        <v>22</v>
      </c>
      <c r="P218" s="10" t="s">
        <v>22</v>
      </c>
      <c r="Q218" s="5" t="s">
        <v>23</v>
      </c>
      <c r="R218" s="5" t="str">
        <f>""</f>
        <v/>
      </c>
      <c r="S218" s="11" t="s">
        <v>23</v>
      </c>
    </row>
    <row r="219" spans="1:19" thickTop="1" thickBot="1" x14ac:dyDescent="0.35">
      <c r="A219" s="3" t="s">
        <v>769</v>
      </c>
      <c r="B219" s="4" t="s">
        <v>757</v>
      </c>
      <c r="C219" s="4">
        <v>-290</v>
      </c>
      <c r="D219" s="5" t="s">
        <v>33</v>
      </c>
      <c r="E219" s="5" t="s">
        <v>78</v>
      </c>
      <c r="F219" s="6">
        <f>113-54</f>
        <v>59</v>
      </c>
      <c r="G219" s="7">
        <f>212/2</f>
        <v>106</v>
      </c>
      <c r="H219" s="8" t="s">
        <v>18</v>
      </c>
      <c r="I219" s="2">
        <v>1479</v>
      </c>
      <c r="J219" s="9" t="s">
        <v>35</v>
      </c>
      <c r="K219" s="4" t="s">
        <v>770</v>
      </c>
      <c r="L219" s="4" t="s">
        <v>759</v>
      </c>
      <c r="M219" s="2" t="s">
        <v>759</v>
      </c>
      <c r="N219" s="5" t="str">
        <f>""</f>
        <v/>
      </c>
      <c r="O219" s="5" t="s">
        <v>22</v>
      </c>
      <c r="P219" s="10" t="s">
        <v>22</v>
      </c>
      <c r="Q219" s="5" t="s">
        <v>22</v>
      </c>
      <c r="R219" s="5" t="s">
        <v>22</v>
      </c>
      <c r="S219" s="11" t="s">
        <v>23</v>
      </c>
    </row>
    <row r="220" spans="1:19" thickTop="1" thickBot="1" x14ac:dyDescent="0.35">
      <c r="A220" s="3" t="s">
        <v>771</v>
      </c>
      <c r="B220" s="4" t="s">
        <v>772</v>
      </c>
      <c r="C220" s="4">
        <v>1946</v>
      </c>
      <c r="D220" s="5" t="s">
        <v>33</v>
      </c>
      <c r="E220" s="5" t="s">
        <v>42</v>
      </c>
      <c r="F220" s="6">
        <f>109-18</f>
        <v>91</v>
      </c>
      <c r="G220" s="7">
        <v>124</v>
      </c>
      <c r="H220" s="8" t="s">
        <v>18</v>
      </c>
      <c r="I220" s="2">
        <v>284</v>
      </c>
      <c r="J220" s="9" t="s">
        <v>746</v>
      </c>
      <c r="K220" s="4" t="s">
        <v>773</v>
      </c>
      <c r="L220" s="4" t="s">
        <v>774</v>
      </c>
      <c r="M220" s="4" t="str">
        <f>""</f>
        <v/>
      </c>
      <c r="N220" s="10">
        <v>44453</v>
      </c>
      <c r="O220" s="5" t="s">
        <v>22</v>
      </c>
      <c r="P220" s="10" t="s">
        <v>22</v>
      </c>
      <c r="Q220" s="5" t="s">
        <v>22</v>
      </c>
      <c r="R220" s="5" t="s">
        <v>23</v>
      </c>
      <c r="S220" s="11" t="s">
        <v>23</v>
      </c>
    </row>
    <row r="221" spans="1:19" thickTop="1" thickBot="1" x14ac:dyDescent="0.35">
      <c r="A221" s="3" t="s">
        <v>775</v>
      </c>
      <c r="B221" s="4" t="s">
        <v>776</v>
      </c>
      <c r="C221" s="4">
        <v>1883</v>
      </c>
      <c r="D221" s="5" t="s">
        <v>16</v>
      </c>
      <c r="E221" s="5" t="s">
        <v>777</v>
      </c>
      <c r="F221" s="6">
        <f>219-12</f>
        <v>207</v>
      </c>
      <c r="G221" s="7">
        <v>260</v>
      </c>
      <c r="H221" s="8" t="s">
        <v>60</v>
      </c>
      <c r="I221" s="2">
        <v>756</v>
      </c>
      <c r="J221" s="9" t="s">
        <v>72</v>
      </c>
      <c r="K221" s="4" t="s">
        <v>778</v>
      </c>
      <c r="L221" s="4" t="s">
        <v>779</v>
      </c>
      <c r="M221" s="2" t="s">
        <v>779</v>
      </c>
      <c r="N221" s="10">
        <v>44228</v>
      </c>
      <c r="O221" s="5" t="s">
        <v>22</v>
      </c>
      <c r="P221" s="10" t="s">
        <v>22</v>
      </c>
      <c r="Q221" s="5" t="s">
        <v>22</v>
      </c>
      <c r="R221" s="2" t="s">
        <v>23</v>
      </c>
      <c r="S221" s="11" t="s">
        <v>23</v>
      </c>
    </row>
    <row r="222" spans="1:19" thickTop="1" thickBot="1" x14ac:dyDescent="0.35">
      <c r="A222" s="3" t="s">
        <v>780</v>
      </c>
      <c r="B222" s="4" t="s">
        <v>443</v>
      </c>
      <c r="C222" s="4">
        <v>1725</v>
      </c>
      <c r="D222" s="5" t="s">
        <v>26</v>
      </c>
      <c r="E222" s="5" t="s">
        <v>42</v>
      </c>
      <c r="F222" s="6">
        <f>92-42</f>
        <v>50</v>
      </c>
      <c r="G222" s="7">
        <v>162</v>
      </c>
      <c r="H222" s="8" t="s">
        <v>18</v>
      </c>
      <c r="I222" s="2">
        <v>1413</v>
      </c>
      <c r="J222" s="9" t="s">
        <v>35</v>
      </c>
      <c r="K222" s="4" t="s">
        <v>781</v>
      </c>
      <c r="L222" s="4" t="s">
        <v>782</v>
      </c>
      <c r="M222" s="2" t="str">
        <f>""</f>
        <v/>
      </c>
      <c r="N222" s="13">
        <v>44013</v>
      </c>
      <c r="O222" s="5" t="s">
        <v>22</v>
      </c>
      <c r="P222" s="10" t="s">
        <v>22</v>
      </c>
      <c r="Q222" s="5" t="s">
        <v>23</v>
      </c>
      <c r="R222" s="2" t="str">
        <f>""</f>
        <v/>
      </c>
      <c r="S222" s="11" t="s">
        <v>23</v>
      </c>
    </row>
    <row r="223" spans="1:19" thickTop="1" thickBot="1" x14ac:dyDescent="0.35">
      <c r="A223" s="3" t="s">
        <v>783</v>
      </c>
      <c r="B223" s="4" t="s">
        <v>128</v>
      </c>
      <c r="C223" s="4">
        <v>1767</v>
      </c>
      <c r="D223" s="5" t="s">
        <v>33</v>
      </c>
      <c r="E223" s="5" t="s">
        <v>42</v>
      </c>
      <c r="F223" s="6">
        <f>131-30</f>
        <v>101</v>
      </c>
      <c r="G223" s="7">
        <v>288</v>
      </c>
      <c r="H223" s="8" t="s">
        <v>60</v>
      </c>
      <c r="I223" s="2">
        <v>13940</v>
      </c>
      <c r="J223" s="9" t="s">
        <v>72</v>
      </c>
      <c r="K223" s="4" t="s">
        <v>784</v>
      </c>
      <c r="L223" s="2" t="s">
        <v>785</v>
      </c>
      <c r="M223" s="4" t="str">
        <f>""</f>
        <v/>
      </c>
      <c r="N223" s="10">
        <v>44044</v>
      </c>
      <c r="O223" s="5" t="s">
        <v>22</v>
      </c>
      <c r="P223" s="10" t="s">
        <v>22</v>
      </c>
      <c r="Q223" s="5" t="s">
        <v>23</v>
      </c>
      <c r="R223" s="5" t="str">
        <f>""</f>
        <v/>
      </c>
      <c r="S223" s="11" t="s">
        <v>23</v>
      </c>
    </row>
    <row r="224" spans="1:19" thickTop="1" thickBot="1" x14ac:dyDescent="0.35">
      <c r="A224" s="3" t="s">
        <v>786</v>
      </c>
      <c r="B224" s="4" t="s">
        <v>787</v>
      </c>
      <c r="C224" s="4">
        <v>1984</v>
      </c>
      <c r="D224" s="5" t="s">
        <v>16</v>
      </c>
      <c r="E224" s="5" t="s">
        <v>788</v>
      </c>
      <c r="F224" s="6">
        <f>467-4</f>
        <v>463</v>
      </c>
      <c r="G224" s="7">
        <v>484</v>
      </c>
      <c r="H224" s="8" t="s">
        <v>18</v>
      </c>
      <c r="I224" s="2">
        <v>2077</v>
      </c>
      <c r="J224" s="9" t="s">
        <v>19</v>
      </c>
      <c r="K224" s="4" t="s">
        <v>789</v>
      </c>
      <c r="L224" s="4" t="str">
        <f>""</f>
        <v/>
      </c>
      <c r="M224" s="2" t="s">
        <v>790</v>
      </c>
      <c r="N224" s="10">
        <v>45019</v>
      </c>
      <c r="O224" s="5" t="s">
        <v>22</v>
      </c>
      <c r="P224" s="10" t="s">
        <v>22</v>
      </c>
      <c r="Q224" s="5" t="s">
        <v>22</v>
      </c>
      <c r="R224" s="2" t="s">
        <v>22</v>
      </c>
      <c r="S224" s="11" t="s">
        <v>23</v>
      </c>
    </row>
    <row r="225" spans="1:19" thickTop="1" thickBot="1" x14ac:dyDescent="0.35">
      <c r="A225" s="3" t="s">
        <v>791</v>
      </c>
      <c r="B225" s="4" t="s">
        <v>98</v>
      </c>
      <c r="C225" s="4">
        <v>1886</v>
      </c>
      <c r="D225" s="5" t="s">
        <v>16</v>
      </c>
      <c r="E225" s="5" t="s">
        <v>42</v>
      </c>
      <c r="F225" s="6">
        <f>508-34</f>
        <v>474</v>
      </c>
      <c r="G225" s="7">
        <v>644</v>
      </c>
      <c r="H225" s="8" t="s">
        <v>18</v>
      </c>
      <c r="I225" s="2">
        <v>1437</v>
      </c>
      <c r="J225" s="9" t="s">
        <v>28</v>
      </c>
      <c r="K225" s="4" t="s">
        <v>792</v>
      </c>
      <c r="L225" s="4" t="s">
        <v>793</v>
      </c>
      <c r="M225" s="2" t="str">
        <f>""</f>
        <v/>
      </c>
      <c r="N225" s="10">
        <v>44126</v>
      </c>
      <c r="O225" s="5" t="s">
        <v>22</v>
      </c>
      <c r="P225" s="10" t="s">
        <v>22</v>
      </c>
      <c r="Q225" s="5" t="s">
        <v>23</v>
      </c>
      <c r="R225" s="2" t="str">
        <f>""</f>
        <v/>
      </c>
      <c r="S225" s="11" t="s">
        <v>23</v>
      </c>
    </row>
    <row r="226" spans="1:19" thickTop="1" thickBot="1" x14ac:dyDescent="0.35">
      <c r="A226" s="3" t="s">
        <v>794</v>
      </c>
      <c r="B226" s="4" t="s">
        <v>795</v>
      </c>
      <c r="C226" s="4">
        <v>1834</v>
      </c>
      <c r="D226" s="5" t="s">
        <v>26</v>
      </c>
      <c r="E226" s="5" t="s">
        <v>42</v>
      </c>
      <c r="F226" s="6">
        <f>218-34</f>
        <v>184</v>
      </c>
      <c r="G226" s="7">
        <v>294</v>
      </c>
      <c r="H226" s="8" t="s">
        <v>18</v>
      </c>
      <c r="I226" s="2">
        <v>1500</v>
      </c>
      <c r="J226" s="9" t="s">
        <v>35</v>
      </c>
      <c r="K226" s="4" t="s">
        <v>796</v>
      </c>
      <c r="L226" s="4" t="s">
        <v>377</v>
      </c>
      <c r="M226" s="4" t="str">
        <f>""</f>
        <v/>
      </c>
      <c r="N226" s="10">
        <v>44774</v>
      </c>
      <c r="O226" s="5" t="s">
        <v>22</v>
      </c>
      <c r="P226" s="10" t="s">
        <v>22</v>
      </c>
      <c r="Q226" s="5" t="s">
        <v>23</v>
      </c>
      <c r="R226" s="5" t="str">
        <f>""</f>
        <v/>
      </c>
      <c r="S226" s="11" t="s">
        <v>23</v>
      </c>
    </row>
    <row r="227" spans="1:19" thickTop="1" thickBot="1" x14ac:dyDescent="0.35">
      <c r="A227" s="3" t="s">
        <v>797</v>
      </c>
      <c r="B227" s="4" t="s">
        <v>367</v>
      </c>
      <c r="C227" s="4">
        <v>1623</v>
      </c>
      <c r="D227" s="5" t="s">
        <v>26</v>
      </c>
      <c r="E227" s="5" t="s">
        <v>17</v>
      </c>
      <c r="F227" s="6">
        <f>151-16</f>
        <v>135</v>
      </c>
      <c r="G227" s="7">
        <v>180</v>
      </c>
      <c r="H227" s="8" t="s">
        <v>18</v>
      </c>
      <c r="I227" s="2">
        <v>6067</v>
      </c>
      <c r="J227" s="9" t="s">
        <v>28</v>
      </c>
      <c r="K227" s="4" t="s">
        <v>798</v>
      </c>
      <c r="L227" s="4" t="s">
        <v>104</v>
      </c>
      <c r="M227" s="2" t="s">
        <v>104</v>
      </c>
      <c r="N227" s="10">
        <v>44599</v>
      </c>
      <c r="O227" s="5" t="s">
        <v>22</v>
      </c>
      <c r="P227" s="10" t="s">
        <v>22</v>
      </c>
      <c r="Q227" s="5" t="s">
        <v>22</v>
      </c>
      <c r="R227" s="2" t="s">
        <v>23</v>
      </c>
      <c r="S227" s="11" t="s">
        <v>23</v>
      </c>
    </row>
    <row r="228" spans="1:19" thickTop="1" thickBot="1" x14ac:dyDescent="0.35">
      <c r="A228" s="3" t="s">
        <v>799</v>
      </c>
      <c r="B228" s="4" t="s">
        <v>662</v>
      </c>
      <c r="C228" s="4">
        <v>1857</v>
      </c>
      <c r="D228" s="5" t="s">
        <v>16</v>
      </c>
      <c r="E228" s="5" t="s">
        <v>42</v>
      </c>
      <c r="F228" s="6">
        <f>488-54</f>
        <v>434</v>
      </c>
      <c r="G228" s="7">
        <v>676</v>
      </c>
      <c r="H228" s="8" t="s">
        <v>60</v>
      </c>
      <c r="I228" s="2">
        <v>35323</v>
      </c>
      <c r="J228" s="9" t="s">
        <v>72</v>
      </c>
      <c r="K228" s="4" t="s">
        <v>800</v>
      </c>
      <c r="L228" s="4" t="s">
        <v>801</v>
      </c>
      <c r="M228" s="4" t="str">
        <f>""</f>
        <v/>
      </c>
      <c r="N228" s="15">
        <v>44470</v>
      </c>
      <c r="O228" s="5" t="s">
        <v>22</v>
      </c>
      <c r="P228" s="10" t="s">
        <v>22</v>
      </c>
      <c r="Q228" s="5" t="s">
        <v>23</v>
      </c>
      <c r="R228" s="2" t="str">
        <f>""</f>
        <v/>
      </c>
      <c r="S228" s="11" t="s">
        <v>23</v>
      </c>
    </row>
    <row r="229" spans="1:19" thickTop="1" thickBot="1" x14ac:dyDescent="0.35">
      <c r="A229" s="3" t="s">
        <v>802</v>
      </c>
      <c r="B229" s="4" t="s">
        <v>803</v>
      </c>
      <c r="C229" s="4">
        <v>125</v>
      </c>
      <c r="D229" s="5" t="s">
        <v>33</v>
      </c>
      <c r="E229" s="5" t="s">
        <v>78</v>
      </c>
      <c r="F229" s="6">
        <f>209-176</f>
        <v>33</v>
      </c>
      <c r="G229" s="7">
        <f>228/2</f>
        <v>114</v>
      </c>
      <c r="H229" s="8" t="s">
        <v>18</v>
      </c>
      <c r="I229" s="2">
        <v>16</v>
      </c>
      <c r="J229" s="9" t="s">
        <v>35</v>
      </c>
      <c r="K229" s="4" t="s">
        <v>804</v>
      </c>
      <c r="L229" s="2" t="s">
        <v>805</v>
      </c>
      <c r="M229" s="2" t="s">
        <v>805</v>
      </c>
      <c r="N229" s="5" t="str">
        <f>""</f>
        <v/>
      </c>
      <c r="O229" s="5" t="s">
        <v>22</v>
      </c>
      <c r="P229" s="10" t="s">
        <v>22</v>
      </c>
      <c r="Q229" s="5" t="s">
        <v>23</v>
      </c>
      <c r="R229" s="5" t="str">
        <f>""</f>
        <v/>
      </c>
      <c r="S229" s="11" t="s">
        <v>23</v>
      </c>
    </row>
    <row r="230" spans="1:19" thickTop="1" thickBot="1" x14ac:dyDescent="0.35">
      <c r="A230" s="3" t="s">
        <v>806</v>
      </c>
      <c r="B230" s="4" t="s">
        <v>807</v>
      </c>
      <c r="C230" s="4">
        <v>1995</v>
      </c>
      <c r="D230" s="5" t="s">
        <v>88</v>
      </c>
      <c r="E230" s="5" t="s">
        <v>42</v>
      </c>
      <c r="F230" s="6">
        <f>12+1542</f>
        <v>1554</v>
      </c>
      <c r="G230" s="7">
        <f>1574+12+2</f>
        <v>1588</v>
      </c>
      <c r="H230" s="8" t="s">
        <v>808</v>
      </c>
      <c r="I230" s="2" t="str">
        <f>""</f>
        <v/>
      </c>
      <c r="J230" s="9" t="s">
        <v>809</v>
      </c>
      <c r="K230" s="4" t="s">
        <v>810</v>
      </c>
      <c r="L230" s="4" t="str">
        <f>""</f>
        <v/>
      </c>
      <c r="M230" s="4" t="str">
        <f>""</f>
        <v/>
      </c>
      <c r="N230" s="10">
        <v>43739</v>
      </c>
      <c r="O230" s="5" t="s">
        <v>22</v>
      </c>
      <c r="P230" s="10" t="s">
        <v>22</v>
      </c>
      <c r="Q230" s="5" t="s">
        <v>22</v>
      </c>
      <c r="R230" s="5" t="s">
        <v>23</v>
      </c>
      <c r="S230" s="11" t="s">
        <v>23</v>
      </c>
    </row>
    <row r="231" spans="1:19" thickTop="1" thickBot="1" x14ac:dyDescent="0.35">
      <c r="A231" s="3" t="s">
        <v>811</v>
      </c>
      <c r="B231" s="4" t="s">
        <v>25</v>
      </c>
      <c r="C231" s="4">
        <v>65</v>
      </c>
      <c r="D231" s="5" t="s">
        <v>26</v>
      </c>
      <c r="E231" s="5" t="s">
        <v>27</v>
      </c>
      <c r="F231" s="6">
        <f>461-396</f>
        <v>65</v>
      </c>
      <c r="G231" s="7">
        <v>111</v>
      </c>
      <c r="H231" s="8" t="s">
        <v>18</v>
      </c>
      <c r="I231" s="2">
        <v>7143</v>
      </c>
      <c r="J231" s="9" t="s">
        <v>28</v>
      </c>
      <c r="K231" s="4" t="s">
        <v>29</v>
      </c>
      <c r="L231" s="4" t="s">
        <v>30</v>
      </c>
      <c r="M231" s="2" t="s">
        <v>30</v>
      </c>
      <c r="N231" s="10">
        <v>44867</v>
      </c>
      <c r="O231" s="5" t="s">
        <v>23</v>
      </c>
      <c r="P231" s="10" t="s">
        <v>22</v>
      </c>
      <c r="Q231" s="5" t="s">
        <v>22</v>
      </c>
      <c r="R231" s="2" t="s">
        <v>22</v>
      </c>
      <c r="S231" s="11" t="s">
        <v>23</v>
      </c>
    </row>
    <row r="232" spans="1:19" thickTop="1" thickBot="1" x14ac:dyDescent="0.35">
      <c r="A232" s="3" t="s">
        <v>812</v>
      </c>
      <c r="B232" s="4" t="s">
        <v>233</v>
      </c>
      <c r="C232" s="4">
        <v>1641</v>
      </c>
      <c r="D232" s="5" t="s">
        <v>33</v>
      </c>
      <c r="E232" s="5" t="s">
        <v>42</v>
      </c>
      <c r="F232" s="6">
        <f>567-32</f>
        <v>535</v>
      </c>
      <c r="G232" s="7">
        <v>582</v>
      </c>
      <c r="H232" s="8" t="s">
        <v>18</v>
      </c>
      <c r="I232" s="2">
        <v>1480</v>
      </c>
      <c r="J232" s="9" t="s">
        <v>35</v>
      </c>
      <c r="K232" s="4" t="s">
        <v>813</v>
      </c>
      <c r="L232" s="4" t="s">
        <v>814</v>
      </c>
      <c r="M232" s="2" t="str">
        <f>""</f>
        <v/>
      </c>
      <c r="N232" s="10">
        <v>43709</v>
      </c>
      <c r="O232" s="5" t="s">
        <v>22</v>
      </c>
      <c r="P232" s="10" t="s">
        <v>22</v>
      </c>
      <c r="Q232" s="5" t="s">
        <v>23</v>
      </c>
      <c r="R232" s="5" t="str">
        <f>""</f>
        <v/>
      </c>
      <c r="S232" s="11" t="s">
        <v>23</v>
      </c>
    </row>
    <row r="233" spans="1:19" thickTop="1" thickBot="1" x14ac:dyDescent="0.35">
      <c r="A233" s="3" t="s">
        <v>815</v>
      </c>
      <c r="B233" s="4" t="s">
        <v>370</v>
      </c>
      <c r="C233" s="4">
        <v>1820</v>
      </c>
      <c r="D233" s="5" t="s">
        <v>41</v>
      </c>
      <c r="E233" s="5" t="s">
        <v>42</v>
      </c>
      <c r="F233" s="6">
        <f>121-20</f>
        <v>101</v>
      </c>
      <c r="G233" s="7">
        <f>484/4</f>
        <v>121</v>
      </c>
      <c r="H233" s="8" t="s">
        <v>18</v>
      </c>
      <c r="I233" s="2">
        <v>145</v>
      </c>
      <c r="J233" s="9" t="s">
        <v>41</v>
      </c>
      <c r="K233" s="4" t="s">
        <v>371</v>
      </c>
      <c r="L233" s="2" t="s">
        <v>372</v>
      </c>
      <c r="M233" s="2" t="str">
        <f>""</f>
        <v/>
      </c>
      <c r="N233" s="15">
        <v>44607</v>
      </c>
      <c r="O233" s="5" t="s">
        <v>22</v>
      </c>
      <c r="P233" s="10" t="s">
        <v>22</v>
      </c>
      <c r="Q233" s="5" t="s">
        <v>22</v>
      </c>
      <c r="R233" s="2" t="s">
        <v>22</v>
      </c>
      <c r="S233" s="11" t="s">
        <v>23</v>
      </c>
    </row>
    <row r="234" spans="1:19" thickTop="1" thickBot="1" x14ac:dyDescent="0.35">
      <c r="A234" s="3" t="s">
        <v>816</v>
      </c>
      <c r="B234" s="4" t="s">
        <v>669</v>
      </c>
      <c r="C234" s="4">
        <v>2017</v>
      </c>
      <c r="D234" s="5" t="s">
        <v>111</v>
      </c>
      <c r="E234" s="5" t="s">
        <v>34</v>
      </c>
      <c r="F234" s="6">
        <f>749-6</f>
        <v>743</v>
      </c>
      <c r="G234" s="7">
        <v>806</v>
      </c>
      <c r="H234" s="8" t="s">
        <v>94</v>
      </c>
      <c r="I234" s="2" t="str">
        <f>""</f>
        <v/>
      </c>
      <c r="J234" s="9" t="s">
        <v>95</v>
      </c>
      <c r="K234" s="4" t="s">
        <v>817</v>
      </c>
      <c r="L234" s="4" t="str">
        <f>""</f>
        <v/>
      </c>
      <c r="M234" s="4" t="str">
        <f>""</f>
        <v/>
      </c>
      <c r="N234" s="5" t="str">
        <f>""</f>
        <v/>
      </c>
      <c r="O234" s="5" t="s">
        <v>22</v>
      </c>
      <c r="P234" s="10" t="s">
        <v>22</v>
      </c>
      <c r="Q234" s="5" t="s">
        <v>23</v>
      </c>
      <c r="R234" s="5" t="str">
        <f>""</f>
        <v/>
      </c>
      <c r="S234" s="11" t="s">
        <v>22</v>
      </c>
    </row>
    <row r="235" spans="1:19" thickTop="1" thickBot="1" x14ac:dyDescent="0.35">
      <c r="A235" s="3" t="s">
        <v>818</v>
      </c>
      <c r="B235" s="4" t="s">
        <v>819</v>
      </c>
      <c r="C235" s="4">
        <v>1851</v>
      </c>
      <c r="D235" s="5" t="s">
        <v>16</v>
      </c>
      <c r="E235" s="5" t="s">
        <v>49</v>
      </c>
      <c r="F235" s="6">
        <f>731-18</f>
        <v>713</v>
      </c>
      <c r="G235" s="7">
        <v>756</v>
      </c>
      <c r="H235" s="8" t="s">
        <v>18</v>
      </c>
      <c r="I235" s="2">
        <v>2852</v>
      </c>
      <c r="J235" s="9" t="s">
        <v>28</v>
      </c>
      <c r="K235" s="4" t="s">
        <v>820</v>
      </c>
      <c r="L235" s="2" t="s">
        <v>821</v>
      </c>
      <c r="M235" s="2" t="s">
        <v>821</v>
      </c>
      <c r="N235" s="15">
        <v>44091</v>
      </c>
      <c r="O235" s="5" t="s">
        <v>22</v>
      </c>
      <c r="P235" s="10" t="s">
        <v>22</v>
      </c>
      <c r="Q235" s="5" t="s">
        <v>22</v>
      </c>
      <c r="R235" s="2" t="s">
        <v>22</v>
      </c>
      <c r="S235" s="11" t="s">
        <v>22</v>
      </c>
    </row>
    <row r="236" spans="1:19" thickTop="1" thickBot="1" x14ac:dyDescent="0.35">
      <c r="A236" s="3" t="s">
        <v>822</v>
      </c>
      <c r="B236" s="4" t="s">
        <v>823</v>
      </c>
      <c r="C236" s="4">
        <v>1996</v>
      </c>
      <c r="D236" s="5" t="s">
        <v>111</v>
      </c>
      <c r="E236" s="5" t="s">
        <v>34</v>
      </c>
      <c r="F236" s="6">
        <f>601-2</f>
        <v>599</v>
      </c>
      <c r="G236" s="7">
        <v>622</v>
      </c>
      <c r="H236" s="8" t="s">
        <v>94</v>
      </c>
      <c r="I236" s="2" t="str">
        <f>""</f>
        <v/>
      </c>
      <c r="J236" s="9" t="s">
        <v>95</v>
      </c>
      <c r="K236" s="4" t="s">
        <v>824</v>
      </c>
      <c r="L236" s="4" t="str">
        <f>""</f>
        <v/>
      </c>
      <c r="M236" s="2" t="str">
        <f>""</f>
        <v/>
      </c>
      <c r="N236" s="5" t="str">
        <f>""</f>
        <v/>
      </c>
      <c r="O236" s="5" t="s">
        <v>22</v>
      </c>
      <c r="P236" s="10" t="s">
        <v>22</v>
      </c>
      <c r="Q236" s="5" t="s">
        <v>23</v>
      </c>
      <c r="R236" s="2" t="str">
        <f>""</f>
        <v/>
      </c>
      <c r="S236" s="11" t="s">
        <v>23</v>
      </c>
    </row>
    <row r="237" spans="1:19" thickTop="1" thickBot="1" x14ac:dyDescent="0.35">
      <c r="A237" s="3" t="s">
        <v>825</v>
      </c>
      <c r="B237" s="4" t="s">
        <v>98</v>
      </c>
      <c r="C237" s="4">
        <v>1880</v>
      </c>
      <c r="D237" s="5" t="s">
        <v>16</v>
      </c>
      <c r="E237" s="5" t="s">
        <v>42</v>
      </c>
      <c r="F237" s="6">
        <f>492-18</f>
        <v>474</v>
      </c>
      <c r="G237" s="7">
        <v>518</v>
      </c>
      <c r="H237" s="8" t="s">
        <v>60</v>
      </c>
      <c r="I237" s="2">
        <v>50</v>
      </c>
      <c r="J237" s="9" t="s">
        <v>72</v>
      </c>
      <c r="K237" s="4" t="s">
        <v>826</v>
      </c>
      <c r="L237" s="4" t="s">
        <v>827</v>
      </c>
      <c r="M237" s="2" t="str">
        <f>""</f>
        <v/>
      </c>
      <c r="N237" s="10">
        <v>44256</v>
      </c>
      <c r="O237" s="5" t="s">
        <v>22</v>
      </c>
      <c r="P237" s="10" t="s">
        <v>22</v>
      </c>
      <c r="Q237" s="5" t="s">
        <v>23</v>
      </c>
      <c r="R237" s="5" t="str">
        <f>""</f>
        <v/>
      </c>
      <c r="S237" s="11" t="s">
        <v>23</v>
      </c>
    </row>
    <row r="238" spans="1:19" thickTop="1" thickBot="1" x14ac:dyDescent="0.35">
      <c r="A238" s="3" t="s">
        <v>828</v>
      </c>
      <c r="B238" s="4" t="s">
        <v>151</v>
      </c>
      <c r="C238" s="4">
        <v>1831</v>
      </c>
      <c r="D238" s="5" t="s">
        <v>16</v>
      </c>
      <c r="E238" s="5" t="s">
        <v>42</v>
      </c>
      <c r="F238" s="6">
        <f>678-52</f>
        <v>626</v>
      </c>
      <c r="G238" s="7">
        <v>740</v>
      </c>
      <c r="H238" s="8" t="s">
        <v>60</v>
      </c>
      <c r="I238" s="2">
        <v>1698</v>
      </c>
      <c r="J238" s="9" t="s">
        <v>621</v>
      </c>
      <c r="K238" s="4" t="s">
        <v>829</v>
      </c>
      <c r="L238" s="4" t="s">
        <v>830</v>
      </c>
      <c r="M238" s="2" t="str">
        <f>""</f>
        <v/>
      </c>
      <c r="N238" s="10">
        <v>42705</v>
      </c>
      <c r="O238" s="5" t="s">
        <v>22</v>
      </c>
      <c r="P238" s="10" t="s">
        <v>22</v>
      </c>
      <c r="Q238" s="5" t="s">
        <v>22</v>
      </c>
      <c r="R238" s="5" t="s">
        <v>22</v>
      </c>
      <c r="S238" s="11" t="s">
        <v>23</v>
      </c>
    </row>
    <row r="239" spans="1:19" thickTop="1" thickBot="1" x14ac:dyDescent="0.35">
      <c r="A239" s="3" t="s">
        <v>831</v>
      </c>
      <c r="B239" s="4" t="s">
        <v>370</v>
      </c>
      <c r="C239" s="4">
        <v>1820</v>
      </c>
      <c r="D239" s="5" t="s">
        <v>41</v>
      </c>
      <c r="E239" s="5" t="s">
        <v>42</v>
      </c>
      <c r="F239" s="6">
        <v>105</v>
      </c>
      <c r="G239" s="7">
        <f>484/4</f>
        <v>121</v>
      </c>
      <c r="H239" s="8" t="s">
        <v>18</v>
      </c>
      <c r="I239" s="2">
        <v>145</v>
      </c>
      <c r="J239" s="9" t="s">
        <v>41</v>
      </c>
      <c r="K239" s="4" t="s">
        <v>371</v>
      </c>
      <c r="L239" s="4" t="s">
        <v>372</v>
      </c>
      <c r="M239" s="4" t="str">
        <f>""</f>
        <v/>
      </c>
      <c r="N239" s="10">
        <v>44607</v>
      </c>
      <c r="O239" s="5" t="s">
        <v>22</v>
      </c>
      <c r="P239" s="10" t="s">
        <v>22</v>
      </c>
      <c r="Q239" s="5" t="s">
        <v>22</v>
      </c>
      <c r="R239" s="5" t="s">
        <v>22</v>
      </c>
      <c r="S239" s="11" t="s">
        <v>23</v>
      </c>
    </row>
    <row r="240" spans="1:19" thickTop="1" thickBot="1" x14ac:dyDescent="0.35">
      <c r="A240" s="3" t="s">
        <v>832</v>
      </c>
      <c r="B240" s="4" t="s">
        <v>392</v>
      </c>
      <c r="C240" s="4">
        <v>-15</v>
      </c>
      <c r="D240" s="5" t="s">
        <v>41</v>
      </c>
      <c r="E240" s="5" t="s">
        <v>27</v>
      </c>
      <c r="F240" s="6">
        <f>441-32</f>
        <v>409</v>
      </c>
      <c r="G240" s="7">
        <v>500</v>
      </c>
      <c r="H240" s="8" t="s">
        <v>18</v>
      </c>
      <c r="I240" s="2">
        <v>399</v>
      </c>
      <c r="J240" s="9" t="s">
        <v>41</v>
      </c>
      <c r="K240" s="4" t="s">
        <v>833</v>
      </c>
      <c r="L240" s="4" t="s">
        <v>834</v>
      </c>
      <c r="M240" s="2" t="s">
        <v>834</v>
      </c>
      <c r="N240" s="10">
        <v>38314</v>
      </c>
      <c r="O240" s="5" t="s">
        <v>22</v>
      </c>
      <c r="P240" s="10" t="s">
        <v>22</v>
      </c>
      <c r="Q240" s="5" t="s">
        <v>22</v>
      </c>
      <c r="R240" s="5" t="s">
        <v>23</v>
      </c>
      <c r="S240" s="11" t="s">
        <v>23</v>
      </c>
    </row>
    <row r="241" spans="1:19" thickTop="1" thickBot="1" x14ac:dyDescent="0.35">
      <c r="A241" s="3" t="s">
        <v>835</v>
      </c>
      <c r="B241" s="4" t="s">
        <v>370</v>
      </c>
      <c r="C241" s="4">
        <v>1820</v>
      </c>
      <c r="D241" s="5" t="s">
        <v>41</v>
      </c>
      <c r="E241" s="5" t="s">
        <v>42</v>
      </c>
      <c r="F241" s="6">
        <f>352-328</f>
        <v>24</v>
      </c>
      <c r="G241" s="7">
        <f>484/4</f>
        <v>121</v>
      </c>
      <c r="H241" s="8" t="s">
        <v>18</v>
      </c>
      <c r="I241" s="2">
        <v>145</v>
      </c>
      <c r="J241" s="9" t="s">
        <v>41</v>
      </c>
      <c r="K241" s="4" t="s">
        <v>371</v>
      </c>
      <c r="L241" s="4" t="s">
        <v>372</v>
      </c>
      <c r="M241" s="4" t="str">
        <f>""</f>
        <v/>
      </c>
      <c r="N241" s="15">
        <v>44607</v>
      </c>
      <c r="O241" s="5" t="s">
        <v>22</v>
      </c>
      <c r="P241" s="10" t="s">
        <v>22</v>
      </c>
      <c r="Q241" s="5" t="s">
        <v>22</v>
      </c>
      <c r="R241" s="5" t="s">
        <v>22</v>
      </c>
      <c r="S241" s="11" t="s">
        <v>23</v>
      </c>
    </row>
    <row r="242" spans="1:19" thickTop="1" thickBot="1" x14ac:dyDescent="0.35">
      <c r="A242" s="3" t="s">
        <v>836</v>
      </c>
      <c r="B242" s="4" t="s">
        <v>398</v>
      </c>
      <c r="C242" s="4">
        <v>-710</v>
      </c>
      <c r="D242" s="5" t="s">
        <v>41</v>
      </c>
      <c r="E242" s="5" t="s">
        <v>78</v>
      </c>
      <c r="F242" s="6">
        <f>435-40</f>
        <v>395</v>
      </c>
      <c r="G242" s="7">
        <v>532</v>
      </c>
      <c r="H242" s="8" t="s">
        <v>18</v>
      </c>
      <c r="I242" s="2">
        <v>1584</v>
      </c>
      <c r="J242" s="9" t="s">
        <v>35</v>
      </c>
      <c r="K242" s="4" t="s">
        <v>837</v>
      </c>
      <c r="L242" s="4" t="s">
        <v>386</v>
      </c>
      <c r="M242" s="4" t="s">
        <v>838</v>
      </c>
      <c r="N242" s="5" t="str">
        <f>""</f>
        <v/>
      </c>
      <c r="O242" s="5" t="s">
        <v>22</v>
      </c>
      <c r="P242" s="10" t="s">
        <v>22</v>
      </c>
      <c r="Q242" s="5" t="s">
        <v>22</v>
      </c>
      <c r="R242" s="5" t="s">
        <v>22</v>
      </c>
      <c r="S242" s="11" t="s">
        <v>22</v>
      </c>
    </row>
    <row r="243" spans="1:19" thickTop="1" thickBot="1" x14ac:dyDescent="0.35">
      <c r="A243" s="3" t="s">
        <v>839</v>
      </c>
      <c r="B243" s="4" t="s">
        <v>25</v>
      </c>
      <c r="C243" s="4">
        <v>65</v>
      </c>
      <c r="D243" s="5" t="s">
        <v>26</v>
      </c>
      <c r="E243" s="5" t="s">
        <v>27</v>
      </c>
      <c r="F243" s="6">
        <f>139-68</f>
        <v>71</v>
      </c>
      <c r="G243" s="7">
        <v>111</v>
      </c>
      <c r="H243" s="8" t="s">
        <v>18</v>
      </c>
      <c r="I243" s="2">
        <v>7143</v>
      </c>
      <c r="J243" s="9" t="s">
        <v>28</v>
      </c>
      <c r="K243" s="4" t="s">
        <v>29</v>
      </c>
      <c r="L243" s="4" t="s">
        <v>30</v>
      </c>
      <c r="M243" s="4" t="s">
        <v>30</v>
      </c>
      <c r="N243" s="10">
        <v>44867</v>
      </c>
      <c r="O243" s="5" t="s">
        <v>23</v>
      </c>
      <c r="P243" s="10" t="s">
        <v>22</v>
      </c>
      <c r="Q243" s="5" t="s">
        <v>22</v>
      </c>
      <c r="R243" s="2" t="s">
        <v>22</v>
      </c>
      <c r="S243" s="11" t="s">
        <v>23</v>
      </c>
    </row>
    <row r="244" spans="1:19" thickTop="1" thickBot="1" x14ac:dyDescent="0.35">
      <c r="A244" s="3" t="s">
        <v>840</v>
      </c>
      <c r="B244" s="4" t="s">
        <v>77</v>
      </c>
      <c r="C244" s="4">
        <v>-425</v>
      </c>
      <c r="D244" s="5" t="s">
        <v>26</v>
      </c>
      <c r="E244" s="5" t="s">
        <v>78</v>
      </c>
      <c r="F244" s="6">
        <f>138-48</f>
        <v>90</v>
      </c>
      <c r="G244" s="7">
        <v>214</v>
      </c>
      <c r="H244" s="8" t="s">
        <v>18</v>
      </c>
      <c r="I244" s="2">
        <v>6005</v>
      </c>
      <c r="J244" s="9" t="s">
        <v>28</v>
      </c>
      <c r="K244" s="4" t="s">
        <v>841</v>
      </c>
      <c r="L244" s="2" t="s">
        <v>117</v>
      </c>
      <c r="M244" s="2" t="s">
        <v>842</v>
      </c>
      <c r="N244" s="10">
        <v>44530</v>
      </c>
      <c r="O244" s="5" t="s">
        <v>22</v>
      </c>
      <c r="P244" s="10" t="s">
        <v>22</v>
      </c>
      <c r="Q244" s="5" t="s">
        <v>23</v>
      </c>
      <c r="R244" s="2" t="str">
        <f>""</f>
        <v/>
      </c>
      <c r="S244" s="11" t="s">
        <v>23</v>
      </c>
    </row>
    <row r="245" spans="1:19" thickTop="1" thickBot="1" x14ac:dyDescent="0.35">
      <c r="A245" s="3" t="s">
        <v>843</v>
      </c>
      <c r="B245" s="4" t="s">
        <v>844</v>
      </c>
      <c r="C245" s="4">
        <v>2000</v>
      </c>
      <c r="D245" s="5" t="s">
        <v>111</v>
      </c>
      <c r="E245" s="5" t="s">
        <v>42</v>
      </c>
      <c r="F245" s="6">
        <f>216-8</f>
        <v>208</v>
      </c>
      <c r="G245" s="7">
        <v>228</v>
      </c>
      <c r="H245" s="8" t="s">
        <v>18</v>
      </c>
      <c r="I245" s="2">
        <v>417</v>
      </c>
      <c r="J245" s="2" t="s">
        <v>845</v>
      </c>
      <c r="K245" s="4" t="s">
        <v>846</v>
      </c>
      <c r="L245" s="2" t="str">
        <f>""</f>
        <v/>
      </c>
      <c r="M245" s="4" t="str">
        <f>""</f>
        <v/>
      </c>
      <c r="N245" s="10">
        <v>44833</v>
      </c>
      <c r="O245" s="5" t="s">
        <v>22</v>
      </c>
      <c r="P245" s="10" t="s">
        <v>22</v>
      </c>
      <c r="Q245" s="5" t="s">
        <v>23</v>
      </c>
      <c r="R245" s="5" t="str">
        <f>""</f>
        <v/>
      </c>
      <c r="S245" s="11" t="s">
        <v>23</v>
      </c>
    </row>
    <row r="246" spans="1:19" thickTop="1" thickBot="1" x14ac:dyDescent="0.35">
      <c r="A246" s="3" t="s">
        <v>847</v>
      </c>
      <c r="B246" s="4" t="s">
        <v>58</v>
      </c>
      <c r="C246" s="4">
        <v>2017</v>
      </c>
      <c r="D246" s="5" t="s">
        <v>48</v>
      </c>
      <c r="E246" s="5" t="s">
        <v>49</v>
      </c>
      <c r="F246" s="6">
        <v>555</v>
      </c>
      <c r="G246" s="7">
        <v>580</v>
      </c>
      <c r="H246" s="8" t="s">
        <v>59</v>
      </c>
      <c r="I246" s="2" t="str">
        <f>""</f>
        <v/>
      </c>
      <c r="J246" s="9" t="str">
        <f>""</f>
        <v/>
      </c>
      <c r="K246" s="4" t="s">
        <v>848</v>
      </c>
      <c r="L246" s="4" t="str">
        <f>""</f>
        <v/>
      </c>
      <c r="M246" s="2" t="s">
        <v>335</v>
      </c>
      <c r="N246" s="10">
        <v>42979</v>
      </c>
      <c r="O246" s="5" t="s">
        <v>22</v>
      </c>
      <c r="P246" s="10" t="s">
        <v>22</v>
      </c>
      <c r="Q246" s="5" t="s">
        <v>22</v>
      </c>
      <c r="R246" s="5" t="s">
        <v>22</v>
      </c>
      <c r="S246" s="11" t="s">
        <v>23</v>
      </c>
    </row>
    <row r="247" spans="1:19" thickTop="1" thickBot="1" x14ac:dyDescent="0.35">
      <c r="A247" s="3" t="s">
        <v>849</v>
      </c>
      <c r="B247" s="4" t="s">
        <v>342</v>
      </c>
      <c r="C247" s="4">
        <v>1532</v>
      </c>
      <c r="D247" s="5" t="s">
        <v>16</v>
      </c>
      <c r="E247" s="5" t="s">
        <v>42</v>
      </c>
      <c r="F247" s="6">
        <f>433-28</f>
        <v>405</v>
      </c>
      <c r="G247" s="7">
        <v>450</v>
      </c>
      <c r="H247" s="8" t="s">
        <v>18</v>
      </c>
      <c r="I247" s="2">
        <v>387</v>
      </c>
      <c r="J247" s="9" t="s">
        <v>28</v>
      </c>
      <c r="K247" s="4" t="s">
        <v>850</v>
      </c>
      <c r="L247" s="2" t="s">
        <v>851</v>
      </c>
      <c r="M247" s="4" t="str">
        <f>""</f>
        <v/>
      </c>
      <c r="N247" s="10">
        <v>44691</v>
      </c>
      <c r="O247" s="5" t="s">
        <v>22</v>
      </c>
      <c r="P247" s="10" t="s">
        <v>22</v>
      </c>
      <c r="Q247" s="5" t="s">
        <v>22</v>
      </c>
      <c r="R247" s="2" t="s">
        <v>23</v>
      </c>
      <c r="S247" s="11" t="s">
        <v>23</v>
      </c>
    </row>
    <row r="248" spans="1:19" thickTop="1" thickBot="1" x14ac:dyDescent="0.35">
      <c r="A248" s="3" t="s">
        <v>852</v>
      </c>
      <c r="B248" s="4" t="s">
        <v>32</v>
      </c>
      <c r="C248" s="4">
        <v>1886</v>
      </c>
      <c r="D248" s="5" t="s">
        <v>33</v>
      </c>
      <c r="E248" s="5" t="s">
        <v>34</v>
      </c>
      <c r="F248" s="6">
        <f>212-16</f>
        <v>196</v>
      </c>
      <c r="G248" s="7">
        <v>268</v>
      </c>
      <c r="H248" s="8" t="s">
        <v>18</v>
      </c>
      <c r="I248" s="2">
        <v>70</v>
      </c>
      <c r="J248" s="9" t="s">
        <v>845</v>
      </c>
      <c r="K248" s="4" t="s">
        <v>853</v>
      </c>
      <c r="L248" s="2" t="str">
        <f>""</f>
        <v/>
      </c>
      <c r="M248" s="2" t="s">
        <v>854</v>
      </c>
      <c r="N248" s="10">
        <v>44013</v>
      </c>
      <c r="O248" s="5" t="s">
        <v>22</v>
      </c>
      <c r="P248" s="10" t="s">
        <v>22</v>
      </c>
      <c r="Q248" s="5" t="s">
        <v>23</v>
      </c>
      <c r="R248" s="2" t="str">
        <f>""</f>
        <v/>
      </c>
      <c r="S248" s="11" t="s">
        <v>23</v>
      </c>
    </row>
    <row r="249" spans="1:19" thickTop="1" thickBot="1" x14ac:dyDescent="0.35">
      <c r="A249" s="3" t="s">
        <v>855</v>
      </c>
      <c r="B249" s="4" t="s">
        <v>856</v>
      </c>
      <c r="C249" s="4">
        <v>1946</v>
      </c>
      <c r="D249" s="5" t="s">
        <v>41</v>
      </c>
      <c r="E249" s="5" t="s">
        <v>42</v>
      </c>
      <c r="F249" s="6">
        <f>248-4</f>
        <v>244</v>
      </c>
      <c r="G249" s="7">
        <v>274</v>
      </c>
      <c r="H249" s="8" t="s">
        <v>18</v>
      </c>
      <c r="I249" s="2">
        <v>762</v>
      </c>
      <c r="J249" s="9" t="s">
        <v>19</v>
      </c>
      <c r="K249" s="4" t="s">
        <v>857</v>
      </c>
      <c r="L249" s="4" t="str">
        <f>""</f>
        <v/>
      </c>
      <c r="M249" s="2" t="str">
        <f>""</f>
        <v/>
      </c>
      <c r="N249" s="10">
        <v>43558</v>
      </c>
      <c r="O249" s="5" t="s">
        <v>22</v>
      </c>
      <c r="P249" s="10" t="s">
        <v>22</v>
      </c>
      <c r="Q249" s="5" t="s">
        <v>23</v>
      </c>
      <c r="R249" s="2" t="str">
        <f>""</f>
        <v/>
      </c>
      <c r="S249" s="11" t="s">
        <v>22</v>
      </c>
    </row>
    <row r="250" spans="1:19" thickTop="1" thickBot="1" x14ac:dyDescent="0.35">
      <c r="A250" s="3" t="s">
        <v>858</v>
      </c>
      <c r="B250" s="4" t="s">
        <v>568</v>
      </c>
      <c r="C250" s="4">
        <v>1838</v>
      </c>
      <c r="D250" s="5" t="s">
        <v>16</v>
      </c>
      <c r="E250" s="5" t="s">
        <v>42</v>
      </c>
      <c r="F250" s="6">
        <f>208-26</f>
        <v>182</v>
      </c>
      <c r="G250" s="7">
        <v>260</v>
      </c>
      <c r="H250" s="8" t="s">
        <v>18</v>
      </c>
      <c r="I250" s="2">
        <v>3689</v>
      </c>
      <c r="J250" s="9" t="s">
        <v>28</v>
      </c>
      <c r="K250" s="4" t="s">
        <v>859</v>
      </c>
      <c r="L250" s="4" t="s">
        <v>860</v>
      </c>
      <c r="M250" s="2" t="str">
        <f>""</f>
        <v/>
      </c>
      <c r="N250" s="10">
        <v>44355</v>
      </c>
      <c r="O250" s="5" t="s">
        <v>22</v>
      </c>
      <c r="P250" s="10" t="s">
        <v>22</v>
      </c>
      <c r="Q250" s="5" t="s">
        <v>23</v>
      </c>
      <c r="R250" s="2" t="str">
        <f>""</f>
        <v/>
      </c>
      <c r="S250" s="11" t="s">
        <v>23</v>
      </c>
    </row>
    <row r="251" spans="1:19" thickTop="1" thickBot="1" x14ac:dyDescent="0.35">
      <c r="A251" s="3" t="s">
        <v>861</v>
      </c>
      <c r="B251" s="4" t="s">
        <v>862</v>
      </c>
      <c r="C251" s="4">
        <v>1670</v>
      </c>
      <c r="D251" s="5" t="s">
        <v>33</v>
      </c>
      <c r="E251" s="5" t="s">
        <v>42</v>
      </c>
      <c r="F251" s="6">
        <f>406-40</f>
        <v>366</v>
      </c>
      <c r="G251" s="7">
        <v>452</v>
      </c>
      <c r="H251" s="8" t="s">
        <v>18</v>
      </c>
      <c r="I251" s="2">
        <v>266</v>
      </c>
      <c r="J251" s="9" t="s">
        <v>35</v>
      </c>
      <c r="K251" s="4" t="s">
        <v>863</v>
      </c>
      <c r="L251" s="4" t="s">
        <v>864</v>
      </c>
      <c r="M251" s="4" t="str">
        <f>""</f>
        <v/>
      </c>
      <c r="N251" s="15">
        <v>44501</v>
      </c>
      <c r="O251" s="5" t="s">
        <v>22</v>
      </c>
      <c r="P251" s="10" t="s">
        <v>22</v>
      </c>
      <c r="Q251" s="5" t="s">
        <v>23</v>
      </c>
      <c r="R251" s="2" t="str">
        <f>""</f>
        <v/>
      </c>
      <c r="S251" s="11" t="s">
        <v>23</v>
      </c>
    </row>
    <row r="252" spans="1:19" thickTop="1" thickBot="1" x14ac:dyDescent="0.35">
      <c r="A252" s="3" t="s">
        <v>865</v>
      </c>
      <c r="B252" s="4" t="s">
        <v>866</v>
      </c>
      <c r="C252" s="4">
        <v>180</v>
      </c>
      <c r="D252" s="5" t="s">
        <v>33</v>
      </c>
      <c r="E252" s="5" t="s">
        <v>27</v>
      </c>
      <c r="F252" s="6">
        <f>176-30</f>
        <v>146</v>
      </c>
      <c r="G252" s="7">
        <f>228/2</f>
        <v>114</v>
      </c>
      <c r="H252" s="8" t="s">
        <v>18</v>
      </c>
      <c r="I252" s="2">
        <v>16</v>
      </c>
      <c r="J252" s="9" t="s">
        <v>35</v>
      </c>
      <c r="K252" s="4" t="s">
        <v>804</v>
      </c>
      <c r="L252" s="4" t="s">
        <v>805</v>
      </c>
      <c r="M252" s="2" t="s">
        <v>805</v>
      </c>
      <c r="N252" s="5" t="str">
        <f>""</f>
        <v/>
      </c>
      <c r="O252" s="5" t="s">
        <v>22</v>
      </c>
      <c r="P252" s="10" t="s">
        <v>22</v>
      </c>
      <c r="Q252" s="5" t="s">
        <v>23</v>
      </c>
      <c r="R252" s="5" t="str">
        <f>""</f>
        <v/>
      </c>
      <c r="S252" s="11" t="s">
        <v>23</v>
      </c>
    </row>
    <row r="253" spans="1:19" thickTop="1" thickBot="1" x14ac:dyDescent="0.35">
      <c r="A253" s="3" t="s">
        <v>867</v>
      </c>
      <c r="B253" s="4" t="s">
        <v>54</v>
      </c>
      <c r="C253" s="4">
        <v>1677</v>
      </c>
      <c r="D253" s="5" t="s">
        <v>26</v>
      </c>
      <c r="E253" s="5" t="s">
        <v>42</v>
      </c>
      <c r="F253" s="6">
        <f>122-18</f>
        <v>104</v>
      </c>
      <c r="G253" s="7">
        <v>164</v>
      </c>
      <c r="H253" s="8" t="s">
        <v>18</v>
      </c>
      <c r="I253" s="2">
        <v>3379</v>
      </c>
      <c r="J253" s="9" t="s">
        <v>28</v>
      </c>
      <c r="K253" s="4" t="s">
        <v>868</v>
      </c>
      <c r="L253" s="4" t="s">
        <v>56</v>
      </c>
      <c r="M253" s="4" t="str">
        <f>""</f>
        <v/>
      </c>
      <c r="N253" s="10">
        <v>44690</v>
      </c>
      <c r="O253" s="5" t="s">
        <v>22</v>
      </c>
      <c r="P253" s="10" t="s">
        <v>22</v>
      </c>
      <c r="Q253" s="5" t="s">
        <v>22</v>
      </c>
      <c r="R253" s="2" t="s">
        <v>23</v>
      </c>
      <c r="S253" s="11" t="s">
        <v>23</v>
      </c>
    </row>
    <row r="254" spans="1:19" thickTop="1" thickBot="1" x14ac:dyDescent="0.35">
      <c r="A254" s="3" t="s">
        <v>867</v>
      </c>
      <c r="B254" s="4" t="s">
        <v>83</v>
      </c>
      <c r="C254" s="4">
        <v>-370</v>
      </c>
      <c r="D254" s="5" t="s">
        <v>33</v>
      </c>
      <c r="E254" s="5" t="s">
        <v>78</v>
      </c>
      <c r="F254" s="6">
        <f>176-72</f>
        <v>104</v>
      </c>
      <c r="G254" s="7">
        <v>308</v>
      </c>
      <c r="H254" s="8" t="s">
        <v>18</v>
      </c>
      <c r="I254" s="2">
        <v>1498</v>
      </c>
      <c r="J254" s="9" t="s">
        <v>35</v>
      </c>
      <c r="K254" s="4" t="s">
        <v>869</v>
      </c>
      <c r="L254" s="4" t="s">
        <v>85</v>
      </c>
      <c r="M254" s="4" t="s">
        <v>85</v>
      </c>
      <c r="N254" s="10">
        <v>44774</v>
      </c>
      <c r="O254" s="5" t="s">
        <v>22</v>
      </c>
      <c r="P254" s="10" t="s">
        <v>22</v>
      </c>
      <c r="Q254" s="5" t="s">
        <v>23</v>
      </c>
      <c r="R254" s="5" t="str">
        <f>""</f>
        <v/>
      </c>
      <c r="S254" s="11" t="s">
        <v>23</v>
      </c>
    </row>
    <row r="255" spans="1:19" thickTop="1" thickBot="1" x14ac:dyDescent="0.35">
      <c r="A255" s="3" t="s">
        <v>867</v>
      </c>
      <c r="B255" s="4" t="s">
        <v>25</v>
      </c>
      <c r="C255" s="4">
        <v>65</v>
      </c>
      <c r="D255" s="5" t="s">
        <v>26</v>
      </c>
      <c r="E255" s="5" t="s">
        <v>27</v>
      </c>
      <c r="F255" s="6">
        <f>541-468</f>
        <v>73</v>
      </c>
      <c r="G255" s="7">
        <v>111</v>
      </c>
      <c r="H255" s="8" t="s">
        <v>18</v>
      </c>
      <c r="I255" s="2">
        <v>7143</v>
      </c>
      <c r="J255" s="9" t="s">
        <v>28</v>
      </c>
      <c r="K255" s="4" t="s">
        <v>29</v>
      </c>
      <c r="L255" s="4" t="s">
        <v>30</v>
      </c>
      <c r="M255" s="4" t="s">
        <v>30</v>
      </c>
      <c r="N255" s="15">
        <v>44867</v>
      </c>
      <c r="O255" s="5" t="s">
        <v>23</v>
      </c>
      <c r="P255" s="10" t="s">
        <v>22</v>
      </c>
      <c r="Q255" s="5" t="s">
        <v>22</v>
      </c>
      <c r="R255" s="2" t="s">
        <v>22</v>
      </c>
      <c r="S255" s="11" t="s">
        <v>23</v>
      </c>
    </row>
    <row r="256" spans="1:19" thickTop="1" thickBot="1" x14ac:dyDescent="0.35">
      <c r="A256" s="3" t="s">
        <v>870</v>
      </c>
      <c r="B256" s="4" t="s">
        <v>871</v>
      </c>
      <c r="C256" s="4">
        <v>1807</v>
      </c>
      <c r="D256" s="5" t="s">
        <v>33</v>
      </c>
      <c r="E256" s="5" t="s">
        <v>34</v>
      </c>
      <c r="F256" s="6">
        <f>652-50</f>
        <v>602</v>
      </c>
      <c r="G256" s="7">
        <v>692</v>
      </c>
      <c r="H256" s="8" t="s">
        <v>18</v>
      </c>
      <c r="I256" s="2">
        <v>1493</v>
      </c>
      <c r="J256" s="9" t="s">
        <v>35</v>
      </c>
      <c r="K256" s="4" t="s">
        <v>872</v>
      </c>
      <c r="L256" s="4" t="s">
        <v>873</v>
      </c>
      <c r="M256" s="4" t="s">
        <v>873</v>
      </c>
      <c r="N256" s="5" t="str">
        <f>""</f>
        <v/>
      </c>
      <c r="O256" s="5" t="s">
        <v>22</v>
      </c>
      <c r="P256" s="10" t="s">
        <v>22</v>
      </c>
      <c r="Q256" s="5" t="s">
        <v>23</v>
      </c>
      <c r="R256" s="2" t="str">
        <f>""</f>
        <v/>
      </c>
      <c r="S256" s="11" t="s">
        <v>23</v>
      </c>
    </row>
    <row r="257" spans="1:19" thickTop="1" thickBot="1" x14ac:dyDescent="0.35">
      <c r="A257" s="3" t="s">
        <v>874</v>
      </c>
      <c r="B257" s="4" t="s">
        <v>203</v>
      </c>
      <c r="C257" s="4">
        <v>-350</v>
      </c>
      <c r="D257" s="5" t="s">
        <v>33</v>
      </c>
      <c r="E257" s="5" t="s">
        <v>78</v>
      </c>
      <c r="F257" s="6">
        <f>448-66</f>
        <v>382</v>
      </c>
      <c r="G257" s="7">
        <v>484</v>
      </c>
      <c r="H257" s="8" t="s">
        <v>18</v>
      </c>
      <c r="I257" s="2">
        <v>887</v>
      </c>
      <c r="J257" s="9" t="s">
        <v>35</v>
      </c>
      <c r="K257" s="4" t="s">
        <v>875</v>
      </c>
      <c r="L257" s="2" t="s">
        <v>386</v>
      </c>
      <c r="M257" s="2" t="s">
        <v>386</v>
      </c>
      <c r="N257" s="10">
        <v>43983</v>
      </c>
      <c r="O257" s="5" t="s">
        <v>22</v>
      </c>
      <c r="P257" s="10" t="s">
        <v>22</v>
      </c>
      <c r="Q257" s="5" t="s">
        <v>23</v>
      </c>
      <c r="R257" s="5" t="str">
        <f>""</f>
        <v/>
      </c>
      <c r="S257" s="11" t="s">
        <v>23</v>
      </c>
    </row>
    <row r="258" spans="1:19" thickTop="1" thickBot="1" x14ac:dyDescent="0.35">
      <c r="A258" s="3" t="s">
        <v>876</v>
      </c>
      <c r="B258" s="4" t="s">
        <v>877</v>
      </c>
      <c r="C258" s="4">
        <v>2013</v>
      </c>
      <c r="D258" s="5" t="s">
        <v>88</v>
      </c>
      <c r="E258" s="5" t="s">
        <v>42</v>
      </c>
      <c r="F258" s="6">
        <f>875+8</f>
        <v>883</v>
      </c>
      <c r="G258" s="7">
        <f>894+8+2</f>
        <v>904</v>
      </c>
      <c r="H258" s="8" t="s">
        <v>142</v>
      </c>
      <c r="I258" s="2" t="str">
        <f>""</f>
        <v/>
      </c>
      <c r="J258" s="9" t="s">
        <v>143</v>
      </c>
      <c r="K258" s="4" t="s">
        <v>878</v>
      </c>
      <c r="L258" s="4" t="str">
        <f>""</f>
        <v/>
      </c>
      <c r="M258" s="2" t="str">
        <f>""</f>
        <v/>
      </c>
      <c r="N258" s="10">
        <v>41426</v>
      </c>
      <c r="O258" s="5" t="s">
        <v>22</v>
      </c>
      <c r="P258" s="10" t="s">
        <v>22</v>
      </c>
      <c r="Q258" s="5" t="s">
        <v>22</v>
      </c>
      <c r="R258" s="2" t="s">
        <v>23</v>
      </c>
      <c r="S258" s="11" t="s">
        <v>23</v>
      </c>
    </row>
    <row r="259" spans="1:19" thickTop="1" thickBot="1" x14ac:dyDescent="0.35">
      <c r="A259" s="3" t="s">
        <v>879</v>
      </c>
      <c r="B259" s="4" t="s">
        <v>106</v>
      </c>
      <c r="C259" s="4">
        <v>1887</v>
      </c>
      <c r="D259" s="5" t="s">
        <v>16</v>
      </c>
      <c r="E259" s="5" t="s">
        <v>42</v>
      </c>
      <c r="F259" s="6">
        <f>230-44</f>
        <v>186</v>
      </c>
      <c r="G259" s="7">
        <v>324</v>
      </c>
      <c r="H259" s="8" t="s">
        <v>18</v>
      </c>
      <c r="I259" s="2">
        <v>3250</v>
      </c>
      <c r="J259" s="9" t="s">
        <v>28</v>
      </c>
      <c r="K259" s="4" t="s">
        <v>880</v>
      </c>
      <c r="L259" s="4" t="s">
        <v>881</v>
      </c>
      <c r="M259" s="2" t="str">
        <f>""</f>
        <v/>
      </c>
      <c r="N259" s="10">
        <v>45000</v>
      </c>
      <c r="O259" s="5" t="s">
        <v>22</v>
      </c>
      <c r="P259" s="10" t="s">
        <v>22</v>
      </c>
      <c r="Q259" s="5" t="s">
        <v>23</v>
      </c>
      <c r="R259" s="5" t="str">
        <f>""</f>
        <v/>
      </c>
      <c r="S259" s="11" t="s">
        <v>23</v>
      </c>
    </row>
    <row r="260" spans="1:19" thickTop="1" thickBot="1" x14ac:dyDescent="0.35">
      <c r="A260" s="3" t="s">
        <v>882</v>
      </c>
      <c r="B260" s="4" t="s">
        <v>314</v>
      </c>
      <c r="C260" s="4">
        <v>1840</v>
      </c>
      <c r="D260" s="5" t="s">
        <v>16</v>
      </c>
      <c r="E260" s="5" t="s">
        <v>42</v>
      </c>
      <c r="F260" s="6">
        <v>175</v>
      </c>
      <c r="G260" s="7">
        <f>356/2</f>
        <v>178</v>
      </c>
      <c r="H260" s="8" t="s">
        <v>18</v>
      </c>
      <c r="I260" s="2">
        <v>717</v>
      </c>
      <c r="J260" s="9" t="s">
        <v>28</v>
      </c>
      <c r="K260" s="4" t="s">
        <v>573</v>
      </c>
      <c r="L260" s="4" t="s">
        <v>574</v>
      </c>
      <c r="M260" s="2" t="str">
        <f>""</f>
        <v/>
      </c>
      <c r="N260" s="15">
        <v>43844</v>
      </c>
      <c r="O260" s="5" t="s">
        <v>22</v>
      </c>
      <c r="P260" s="10" t="s">
        <v>22</v>
      </c>
      <c r="Q260" s="5" t="s">
        <v>22</v>
      </c>
      <c r="R260" s="2" t="s">
        <v>23</v>
      </c>
      <c r="S260" s="11" t="s">
        <v>23</v>
      </c>
    </row>
    <row r="261" spans="1:19" thickTop="1" thickBot="1" x14ac:dyDescent="0.35">
      <c r="A261" s="3" t="s">
        <v>883</v>
      </c>
      <c r="B261" s="4" t="s">
        <v>214</v>
      </c>
      <c r="C261" s="4">
        <v>1895</v>
      </c>
      <c r="D261" s="5" t="s">
        <v>41</v>
      </c>
      <c r="E261" s="5" t="s">
        <v>42</v>
      </c>
      <c r="F261" s="6">
        <f>150-137</f>
        <v>13</v>
      </c>
      <c r="G261" s="7">
        <v>37</v>
      </c>
      <c r="H261" s="8" t="s">
        <v>18</v>
      </c>
      <c r="I261" s="2">
        <v>1459</v>
      </c>
      <c r="J261" s="9" t="s">
        <v>35</v>
      </c>
      <c r="K261" s="4" t="s">
        <v>215</v>
      </c>
      <c r="L261" s="4" t="s">
        <v>216</v>
      </c>
      <c r="M261" s="2" t="str">
        <f>""</f>
        <v/>
      </c>
      <c r="N261" s="5" t="str">
        <f>""</f>
        <v/>
      </c>
      <c r="O261" s="5" t="s">
        <v>23</v>
      </c>
      <c r="P261" s="10" t="s">
        <v>22</v>
      </c>
      <c r="Q261" s="5" t="s">
        <v>23</v>
      </c>
      <c r="R261" s="5" t="str">
        <f>""</f>
        <v/>
      </c>
      <c r="S261" s="11" t="s">
        <v>23</v>
      </c>
    </row>
    <row r="262" spans="1:19" thickTop="1" thickBot="1" x14ac:dyDescent="0.35">
      <c r="A262" s="3" t="s">
        <v>884</v>
      </c>
      <c r="B262" s="4" t="s">
        <v>885</v>
      </c>
      <c r="C262" s="4">
        <v>1866</v>
      </c>
      <c r="D262" s="5" t="s">
        <v>41</v>
      </c>
      <c r="E262" s="5" t="s">
        <v>42</v>
      </c>
      <c r="F262" s="6">
        <f>125-18</f>
        <v>107</v>
      </c>
      <c r="G262" s="7">
        <v>228</v>
      </c>
      <c r="H262" s="8" t="s">
        <v>60</v>
      </c>
      <c r="I262" s="2">
        <v>3133</v>
      </c>
      <c r="J262" s="9" t="s">
        <v>72</v>
      </c>
      <c r="K262" s="4" t="s">
        <v>886</v>
      </c>
      <c r="L262" s="4" t="s">
        <v>887</v>
      </c>
      <c r="M262" s="2" t="str">
        <f>""</f>
        <v/>
      </c>
      <c r="N262" s="15">
        <v>44013</v>
      </c>
      <c r="O262" s="5" t="s">
        <v>22</v>
      </c>
      <c r="P262" s="10" t="s">
        <v>22</v>
      </c>
      <c r="Q262" s="5" t="s">
        <v>22</v>
      </c>
      <c r="R262" s="5" t="s">
        <v>23</v>
      </c>
      <c r="S262" s="11" t="s">
        <v>23</v>
      </c>
    </row>
    <row r="263" spans="1:19" thickTop="1" thickBot="1" x14ac:dyDescent="0.35">
      <c r="A263" s="3" t="s">
        <v>888</v>
      </c>
      <c r="B263" s="4" t="s">
        <v>214</v>
      </c>
      <c r="C263" s="4">
        <v>1895</v>
      </c>
      <c r="D263" s="5" t="s">
        <v>41</v>
      </c>
      <c r="E263" s="5" t="s">
        <v>42</v>
      </c>
      <c r="F263" s="6">
        <f>136-86</f>
        <v>50</v>
      </c>
      <c r="G263" s="7">
        <v>37</v>
      </c>
      <c r="H263" s="8" t="s">
        <v>18</v>
      </c>
      <c r="I263" s="2">
        <v>1459</v>
      </c>
      <c r="J263" s="9" t="s">
        <v>35</v>
      </c>
      <c r="K263" s="4" t="s">
        <v>215</v>
      </c>
      <c r="L263" s="4" t="s">
        <v>216</v>
      </c>
      <c r="M263" s="2" t="str">
        <f>""</f>
        <v/>
      </c>
      <c r="N263" s="5" t="str">
        <f>""</f>
        <v/>
      </c>
      <c r="O263" s="5" t="s">
        <v>22</v>
      </c>
      <c r="P263" s="10" t="s">
        <v>22</v>
      </c>
      <c r="Q263" s="5" t="s">
        <v>22</v>
      </c>
      <c r="R263" s="2" t="s">
        <v>22</v>
      </c>
      <c r="S263" s="11" t="s">
        <v>23</v>
      </c>
    </row>
    <row r="264" spans="1:19" thickTop="1" thickBot="1" x14ac:dyDescent="0.35">
      <c r="A264" s="3" t="s">
        <v>888</v>
      </c>
      <c r="B264" s="4" t="s">
        <v>102</v>
      </c>
      <c r="C264" s="4">
        <v>1899</v>
      </c>
      <c r="D264" s="5" t="s">
        <v>41</v>
      </c>
      <c r="E264" s="5" t="s">
        <v>42</v>
      </c>
      <c r="F264" s="6">
        <f>72-0</f>
        <v>72</v>
      </c>
      <c r="G264" s="7">
        <f>340/3</f>
        <v>113.33333333333333</v>
      </c>
      <c r="H264" s="8" t="s">
        <v>18</v>
      </c>
      <c r="I264" s="2">
        <v>261</v>
      </c>
      <c r="J264" s="9" t="s">
        <v>41</v>
      </c>
      <c r="K264" s="4" t="s">
        <v>103</v>
      </c>
      <c r="L264" s="4" t="s">
        <v>104</v>
      </c>
      <c r="M264" s="4" t="str">
        <f>""</f>
        <v/>
      </c>
      <c r="N264" s="15">
        <v>44686</v>
      </c>
      <c r="O264" s="5" t="s">
        <v>22</v>
      </c>
      <c r="P264" s="10" t="s">
        <v>22</v>
      </c>
      <c r="Q264" s="5" t="s">
        <v>23</v>
      </c>
      <c r="R264" s="5" t="str">
        <f>""</f>
        <v/>
      </c>
      <c r="S264" s="11" t="s">
        <v>23</v>
      </c>
    </row>
    <row r="265" spans="1:19" thickTop="1" thickBot="1" x14ac:dyDescent="0.35">
      <c r="A265" s="3" t="s">
        <v>889</v>
      </c>
      <c r="B265" s="4" t="s">
        <v>203</v>
      </c>
      <c r="C265" s="4">
        <v>-335</v>
      </c>
      <c r="D265" s="5" t="s">
        <v>33</v>
      </c>
      <c r="E265" s="5" t="s">
        <v>78</v>
      </c>
      <c r="F265" s="6">
        <f>170-88</f>
        <v>82</v>
      </c>
      <c r="G265" s="7">
        <v>276</v>
      </c>
      <c r="H265" s="8" t="s">
        <v>18</v>
      </c>
      <c r="I265" s="2">
        <v>1637</v>
      </c>
      <c r="J265" s="9" t="s">
        <v>35</v>
      </c>
      <c r="K265" s="4" t="s">
        <v>890</v>
      </c>
      <c r="L265" s="4" t="s">
        <v>891</v>
      </c>
      <c r="M265" s="2" t="s">
        <v>891</v>
      </c>
      <c r="N265" s="2" t="str">
        <f>""</f>
        <v/>
      </c>
      <c r="O265" s="5" t="s">
        <v>22</v>
      </c>
      <c r="P265" s="10" t="s">
        <v>22</v>
      </c>
      <c r="Q265" s="5" t="s">
        <v>22</v>
      </c>
      <c r="R265" s="2" t="s">
        <v>22</v>
      </c>
      <c r="S265" s="11" t="s">
        <v>23</v>
      </c>
    </row>
    <row r="266" spans="1:19" thickTop="1" thickBot="1" x14ac:dyDescent="0.35">
      <c r="A266" s="3" t="s">
        <v>892</v>
      </c>
      <c r="B266" s="4" t="s">
        <v>214</v>
      </c>
      <c r="C266" s="4">
        <v>1895</v>
      </c>
      <c r="D266" s="5" t="s">
        <v>41</v>
      </c>
      <c r="E266" s="5" t="s">
        <v>42</v>
      </c>
      <c r="F266" s="6">
        <f>28-10</f>
        <v>18</v>
      </c>
      <c r="G266" s="7">
        <v>37</v>
      </c>
      <c r="H266" s="8" t="s">
        <v>18</v>
      </c>
      <c r="I266" s="2">
        <v>1459</v>
      </c>
      <c r="J266" s="9" t="s">
        <v>35</v>
      </c>
      <c r="K266" s="4" t="s">
        <v>215</v>
      </c>
      <c r="L266" s="2" t="s">
        <v>216</v>
      </c>
      <c r="M266" s="2" t="str">
        <f>""</f>
        <v/>
      </c>
      <c r="N266" s="5" t="str">
        <f>""</f>
        <v/>
      </c>
      <c r="O266" s="5" t="s">
        <v>23</v>
      </c>
      <c r="P266" s="10" t="s">
        <v>22</v>
      </c>
      <c r="Q266" s="5" t="s">
        <v>23</v>
      </c>
      <c r="R266" s="2" t="str">
        <f>""</f>
        <v/>
      </c>
      <c r="S266" s="11" t="s">
        <v>23</v>
      </c>
    </row>
    <row r="267" spans="1:19" thickTop="1" thickBot="1" x14ac:dyDescent="0.35">
      <c r="A267" s="3" t="s">
        <v>893</v>
      </c>
      <c r="B267" s="4" t="s">
        <v>261</v>
      </c>
      <c r="C267" s="4">
        <v>1942</v>
      </c>
      <c r="D267" s="5" t="s">
        <v>41</v>
      </c>
      <c r="E267" s="5" t="s">
        <v>42</v>
      </c>
      <c r="F267" s="6">
        <f>221-102</f>
        <v>119</v>
      </c>
      <c r="G267" s="7">
        <f>242/3</f>
        <v>80.666666666666671</v>
      </c>
      <c r="H267" s="8" t="s">
        <v>134</v>
      </c>
      <c r="I267" s="2">
        <v>16</v>
      </c>
      <c r="J267" s="9" t="s">
        <v>41</v>
      </c>
      <c r="K267" s="4" t="s">
        <v>262</v>
      </c>
      <c r="L267" s="4" t="str">
        <f>""</f>
        <v/>
      </c>
      <c r="M267" s="2" t="str">
        <f>""</f>
        <v/>
      </c>
      <c r="N267" s="15">
        <v>44833</v>
      </c>
      <c r="O267" s="5" t="s">
        <v>22</v>
      </c>
      <c r="P267" s="10" t="s">
        <v>22</v>
      </c>
      <c r="Q267" s="5" t="s">
        <v>23</v>
      </c>
      <c r="R267" s="2" t="str">
        <f>""</f>
        <v/>
      </c>
      <c r="S267" s="11" t="s">
        <v>23</v>
      </c>
    </row>
    <row r="268" spans="1:19" thickTop="1" thickBot="1" x14ac:dyDescent="0.35">
      <c r="A268" s="3" t="s">
        <v>894</v>
      </c>
      <c r="B268" s="4" t="s">
        <v>214</v>
      </c>
      <c r="C268" s="4">
        <v>1895</v>
      </c>
      <c r="D268" s="5" t="s">
        <v>41</v>
      </c>
      <c r="E268" s="5" t="s">
        <v>42</v>
      </c>
      <c r="F268" s="6">
        <f>194-191</f>
        <v>3</v>
      </c>
      <c r="G268" s="7">
        <v>37</v>
      </c>
      <c r="H268" s="8" t="s">
        <v>18</v>
      </c>
      <c r="I268" s="2">
        <v>1459</v>
      </c>
      <c r="J268" s="9" t="s">
        <v>35</v>
      </c>
      <c r="K268" s="4" t="s">
        <v>215</v>
      </c>
      <c r="L268" s="4" t="s">
        <v>216</v>
      </c>
      <c r="M268" s="2" t="str">
        <f>""</f>
        <v/>
      </c>
      <c r="N268" s="2" t="str">
        <f>""</f>
        <v/>
      </c>
      <c r="O268" s="5" t="s">
        <v>23</v>
      </c>
      <c r="P268" s="10" t="s">
        <v>22</v>
      </c>
      <c r="Q268" s="5" t="s">
        <v>23</v>
      </c>
      <c r="R268" s="5" t="str">
        <f>""</f>
        <v/>
      </c>
      <c r="S268" s="11" t="s">
        <v>23</v>
      </c>
    </row>
    <row r="269" spans="1:19" thickTop="1" thickBot="1" x14ac:dyDescent="0.35">
      <c r="A269" s="3" t="s">
        <v>895</v>
      </c>
      <c r="B269" s="4" t="s">
        <v>214</v>
      </c>
      <c r="C269" s="4">
        <v>1895</v>
      </c>
      <c r="D269" s="5" t="s">
        <v>41</v>
      </c>
      <c r="E269" s="5" t="s">
        <v>42</v>
      </c>
      <c r="F269" s="6">
        <f>62-29</f>
        <v>33</v>
      </c>
      <c r="G269" s="7">
        <v>37</v>
      </c>
      <c r="H269" s="8" t="s">
        <v>18</v>
      </c>
      <c r="I269" s="2">
        <v>1459</v>
      </c>
      <c r="J269" s="9" t="s">
        <v>35</v>
      </c>
      <c r="K269" s="4" t="s">
        <v>215</v>
      </c>
      <c r="L269" s="2" t="s">
        <v>216</v>
      </c>
      <c r="M269" s="2" t="str">
        <f>""</f>
        <v/>
      </c>
      <c r="N269" s="2" t="str">
        <f>""</f>
        <v/>
      </c>
      <c r="O269" s="5" t="s">
        <v>23</v>
      </c>
      <c r="P269" s="10" t="s">
        <v>22</v>
      </c>
      <c r="Q269" s="5" t="s">
        <v>22</v>
      </c>
      <c r="R269" s="2" t="s">
        <v>22</v>
      </c>
      <c r="S269" s="11" t="s">
        <v>23</v>
      </c>
    </row>
    <row r="270" spans="1:19" thickTop="1" thickBot="1" x14ac:dyDescent="0.35">
      <c r="A270" s="3" t="s">
        <v>896</v>
      </c>
      <c r="B270" s="4" t="s">
        <v>897</v>
      </c>
      <c r="C270" s="4">
        <v>2022</v>
      </c>
      <c r="D270" s="5" t="s">
        <v>111</v>
      </c>
      <c r="E270" s="5" t="s">
        <v>34</v>
      </c>
      <c r="F270" s="6">
        <f>483-2</f>
        <v>481</v>
      </c>
      <c r="G270" s="7">
        <v>494</v>
      </c>
      <c r="H270" s="8" t="s">
        <v>94</v>
      </c>
      <c r="I270" s="2" t="str">
        <f>""</f>
        <v/>
      </c>
      <c r="J270" s="9" t="s">
        <v>112</v>
      </c>
      <c r="K270" s="4" t="s">
        <v>898</v>
      </c>
      <c r="L270" s="4" t="str">
        <f>""</f>
        <v/>
      </c>
      <c r="M270" s="4" t="str">
        <f>""</f>
        <v/>
      </c>
      <c r="N270" s="5" t="str">
        <f>""</f>
        <v/>
      </c>
      <c r="O270" s="5" t="s">
        <v>22</v>
      </c>
      <c r="P270" s="10" t="s">
        <v>22</v>
      </c>
      <c r="Q270" s="5" t="s">
        <v>23</v>
      </c>
      <c r="R270" s="2" t="str">
        <f>""</f>
        <v/>
      </c>
      <c r="S270" s="11" t="s">
        <v>23</v>
      </c>
    </row>
    <row r="271" spans="1:19" thickTop="1" thickBot="1" x14ac:dyDescent="0.35">
      <c r="A271" s="3" t="s">
        <v>899</v>
      </c>
      <c r="B271" s="4" t="s">
        <v>203</v>
      </c>
      <c r="C271" s="4">
        <v>-323</v>
      </c>
      <c r="D271" s="5" t="s">
        <v>33</v>
      </c>
      <c r="E271" s="5" t="s">
        <v>78</v>
      </c>
      <c r="F271" s="6">
        <f>526-108</f>
        <v>418</v>
      </c>
      <c r="G271" s="7">
        <v>580</v>
      </c>
      <c r="H271" s="8" t="s">
        <v>18</v>
      </c>
      <c r="I271" s="2">
        <v>1135</v>
      </c>
      <c r="J271" s="9" t="s">
        <v>35</v>
      </c>
      <c r="K271" s="4" t="s">
        <v>900</v>
      </c>
      <c r="L271" s="2" t="s">
        <v>901</v>
      </c>
      <c r="M271" s="2" t="s">
        <v>901</v>
      </c>
      <c r="N271" s="10">
        <v>43739</v>
      </c>
      <c r="O271" s="5" t="s">
        <v>22</v>
      </c>
      <c r="P271" s="10" t="s">
        <v>22</v>
      </c>
      <c r="Q271" s="5" t="s">
        <v>23</v>
      </c>
      <c r="R271" s="5" t="str">
        <f>""</f>
        <v/>
      </c>
      <c r="S271" s="11" t="s">
        <v>23</v>
      </c>
    </row>
    <row r="272" spans="1:19" thickTop="1" thickBot="1" x14ac:dyDescent="0.35">
      <c r="A272" s="3" t="s">
        <v>902</v>
      </c>
      <c r="B272" s="4" t="s">
        <v>903</v>
      </c>
      <c r="C272" s="4">
        <v>1959</v>
      </c>
      <c r="D272" s="5" t="s">
        <v>26</v>
      </c>
      <c r="E272" s="5" t="s">
        <v>42</v>
      </c>
      <c r="F272" s="6">
        <f>246-4</f>
        <v>242</v>
      </c>
      <c r="G272" s="7">
        <v>260</v>
      </c>
      <c r="H272" s="8" t="s">
        <v>18</v>
      </c>
      <c r="I272" s="2">
        <v>816</v>
      </c>
      <c r="J272" s="9" t="s">
        <v>19</v>
      </c>
      <c r="K272" s="4" t="s">
        <v>904</v>
      </c>
      <c r="L272" s="4" t="str">
        <f>""</f>
        <v/>
      </c>
      <c r="M272" s="4" t="str">
        <f>""</f>
        <v/>
      </c>
      <c r="N272" s="10">
        <v>43928</v>
      </c>
      <c r="O272" s="5" t="s">
        <v>22</v>
      </c>
      <c r="P272" s="10" t="s">
        <v>22</v>
      </c>
      <c r="Q272" s="5" t="s">
        <v>22</v>
      </c>
      <c r="R272" s="5" t="s">
        <v>22</v>
      </c>
      <c r="S272" s="11" t="s">
        <v>23</v>
      </c>
    </row>
    <row r="273" spans="1:19" thickTop="1" thickBot="1" x14ac:dyDescent="0.35">
      <c r="A273" s="3" t="s">
        <v>905</v>
      </c>
      <c r="B273" s="4" t="s">
        <v>439</v>
      </c>
      <c r="C273" s="4">
        <v>1308</v>
      </c>
      <c r="D273" s="5" t="s">
        <v>41</v>
      </c>
      <c r="E273" s="5" t="s">
        <v>133</v>
      </c>
      <c r="F273" s="6">
        <f>367-40</f>
        <v>327</v>
      </c>
      <c r="G273" s="7">
        <v>420</v>
      </c>
      <c r="H273" s="8" t="s">
        <v>18</v>
      </c>
      <c r="I273" s="2">
        <v>1629</v>
      </c>
      <c r="J273" s="9" t="s">
        <v>35</v>
      </c>
      <c r="K273" s="4" t="s">
        <v>906</v>
      </c>
      <c r="L273" s="2" t="s">
        <v>441</v>
      </c>
      <c r="M273" s="4" t="s">
        <v>441</v>
      </c>
      <c r="N273" s="10">
        <v>44197</v>
      </c>
      <c r="O273" s="5" t="s">
        <v>22</v>
      </c>
      <c r="P273" s="10" t="s">
        <v>22</v>
      </c>
      <c r="Q273" s="5" t="s">
        <v>22</v>
      </c>
      <c r="R273" s="5" t="s">
        <v>22</v>
      </c>
      <c r="S273" s="11" t="s">
        <v>23</v>
      </c>
    </row>
    <row r="274" spans="1:19" thickTop="1" thickBot="1" x14ac:dyDescent="0.35">
      <c r="A274" s="3" t="s">
        <v>907</v>
      </c>
      <c r="B274" s="4" t="s">
        <v>787</v>
      </c>
      <c r="C274" s="4">
        <v>1970</v>
      </c>
      <c r="D274" s="5" t="s">
        <v>389</v>
      </c>
      <c r="E274" s="5" t="s">
        <v>788</v>
      </c>
      <c r="F274" s="6">
        <f>316-4</f>
        <v>312</v>
      </c>
      <c r="G274" s="7">
        <v>324</v>
      </c>
      <c r="H274" s="8" t="s">
        <v>18</v>
      </c>
      <c r="I274" s="2">
        <v>1702</v>
      </c>
      <c r="J274" s="9" t="s">
        <v>19</v>
      </c>
      <c r="K274" s="4" t="s">
        <v>908</v>
      </c>
      <c r="L274" s="4" t="str">
        <f>""</f>
        <v/>
      </c>
      <c r="M274" s="4" t="s">
        <v>790</v>
      </c>
      <c r="N274" s="10">
        <v>44572</v>
      </c>
      <c r="O274" s="5" t="s">
        <v>22</v>
      </c>
      <c r="P274" s="10" t="s">
        <v>22</v>
      </c>
      <c r="Q274" s="5" t="s">
        <v>22</v>
      </c>
      <c r="R274" s="5" t="s">
        <v>23</v>
      </c>
      <c r="S274" s="11" t="s">
        <v>22</v>
      </c>
    </row>
    <row r="275" spans="1:19" thickTop="1" thickBot="1" x14ac:dyDescent="0.35">
      <c r="A275" s="3" t="s">
        <v>909</v>
      </c>
      <c r="B275" s="4" t="s">
        <v>910</v>
      </c>
      <c r="C275" s="4">
        <v>1719</v>
      </c>
      <c r="D275" s="5" t="s">
        <v>16</v>
      </c>
      <c r="E275" s="5" t="s">
        <v>17</v>
      </c>
      <c r="F275" s="6">
        <f>488-42</f>
        <v>446</v>
      </c>
      <c r="G275" s="7">
        <v>516</v>
      </c>
      <c r="H275" s="8" t="s">
        <v>18</v>
      </c>
      <c r="I275" s="2">
        <v>3510</v>
      </c>
      <c r="J275" s="9" t="s">
        <v>28</v>
      </c>
      <c r="K275" s="4" t="s">
        <v>911</v>
      </c>
      <c r="L275" s="4" t="s">
        <v>912</v>
      </c>
      <c r="M275" s="2" t="s">
        <v>913</v>
      </c>
      <c r="N275" s="15">
        <v>44411</v>
      </c>
      <c r="O275" s="5" t="s">
        <v>22</v>
      </c>
      <c r="P275" s="10" t="s">
        <v>22</v>
      </c>
      <c r="Q275" s="5" t="s">
        <v>22</v>
      </c>
      <c r="R275" s="2" t="s">
        <v>22</v>
      </c>
      <c r="S275" s="11" t="s">
        <v>23</v>
      </c>
    </row>
    <row r="276" spans="1:19" thickTop="1" thickBot="1" x14ac:dyDescent="0.35">
      <c r="A276" s="3" t="s">
        <v>914</v>
      </c>
      <c r="B276" s="4" t="s">
        <v>885</v>
      </c>
      <c r="C276" s="4">
        <v>1874</v>
      </c>
      <c r="D276" s="5" t="s">
        <v>41</v>
      </c>
      <c r="E276" s="5" t="s">
        <v>42</v>
      </c>
      <c r="F276" s="6">
        <f>85-46</f>
        <v>39</v>
      </c>
      <c r="G276" s="7">
        <v>260</v>
      </c>
      <c r="H276" s="8" t="s">
        <v>18</v>
      </c>
      <c r="I276" s="2">
        <v>1499</v>
      </c>
      <c r="J276" s="9" t="s">
        <v>35</v>
      </c>
      <c r="K276" s="4" t="s">
        <v>915</v>
      </c>
      <c r="L276" s="4" t="s">
        <v>916</v>
      </c>
      <c r="M276" s="4" t="str">
        <f>""</f>
        <v/>
      </c>
      <c r="N276" s="5" t="str">
        <f>""</f>
        <v/>
      </c>
      <c r="O276" s="5" t="s">
        <v>22</v>
      </c>
      <c r="P276" s="10" t="s">
        <v>22</v>
      </c>
      <c r="Q276" s="5" t="s">
        <v>23</v>
      </c>
      <c r="R276" s="5" t="str">
        <f>""</f>
        <v/>
      </c>
      <c r="S276" s="11" t="s">
        <v>23</v>
      </c>
    </row>
    <row r="277" spans="1:19" thickTop="1" thickBot="1" x14ac:dyDescent="0.35">
      <c r="A277" s="3" t="s">
        <v>917</v>
      </c>
      <c r="B277" s="4" t="s">
        <v>367</v>
      </c>
      <c r="C277" s="4">
        <v>1597</v>
      </c>
      <c r="D277" s="5" t="s">
        <v>26</v>
      </c>
      <c r="E277" s="5" t="s">
        <v>17</v>
      </c>
      <c r="F277" s="6">
        <f>201-18</f>
        <v>183</v>
      </c>
      <c r="G277" s="7">
        <v>228</v>
      </c>
      <c r="H277" s="8" t="s">
        <v>18</v>
      </c>
      <c r="I277" s="2">
        <v>6066</v>
      </c>
      <c r="J277" s="9" t="s">
        <v>28</v>
      </c>
      <c r="K277" s="4" t="s">
        <v>918</v>
      </c>
      <c r="L277" s="4" t="s">
        <v>104</v>
      </c>
      <c r="M277" s="2" t="s">
        <v>104</v>
      </c>
      <c r="N277" s="10">
        <v>44341</v>
      </c>
      <c r="O277" s="5" t="s">
        <v>22</v>
      </c>
      <c r="P277" s="10" t="s">
        <v>22</v>
      </c>
      <c r="Q277" s="5" t="s">
        <v>22</v>
      </c>
      <c r="R277" s="5" t="s">
        <v>22</v>
      </c>
      <c r="S277" s="11" t="s">
        <v>23</v>
      </c>
    </row>
    <row r="278" spans="1:19" thickTop="1" thickBot="1" x14ac:dyDescent="0.35">
      <c r="A278" s="3" t="s">
        <v>919</v>
      </c>
      <c r="B278" s="4" t="s">
        <v>151</v>
      </c>
      <c r="C278" s="4">
        <v>1838</v>
      </c>
      <c r="D278" s="5" t="s">
        <v>26</v>
      </c>
      <c r="E278" s="5" t="s">
        <v>42</v>
      </c>
      <c r="F278" s="6">
        <f>214-36</f>
        <v>178</v>
      </c>
      <c r="G278" s="7">
        <v>278</v>
      </c>
      <c r="H278" s="8" t="s">
        <v>18</v>
      </c>
      <c r="I278" s="2">
        <v>1570</v>
      </c>
      <c r="J278" s="9" t="s">
        <v>35</v>
      </c>
      <c r="K278" s="4" t="s">
        <v>920</v>
      </c>
      <c r="L278" s="2" t="s">
        <v>921</v>
      </c>
      <c r="M278" s="4" t="str">
        <f>""</f>
        <v/>
      </c>
      <c r="N278" s="10">
        <v>43891</v>
      </c>
      <c r="O278" s="5" t="s">
        <v>22</v>
      </c>
      <c r="P278" s="10" t="s">
        <v>22</v>
      </c>
      <c r="Q278" s="5" t="s">
        <v>22</v>
      </c>
      <c r="R278" s="2" t="s">
        <v>23</v>
      </c>
      <c r="S278" s="11" t="s">
        <v>23</v>
      </c>
    </row>
    <row r="279" spans="1:19" thickTop="1" thickBot="1" x14ac:dyDescent="0.35">
      <c r="A279" s="3" t="s">
        <v>922</v>
      </c>
      <c r="B279" s="4" t="s">
        <v>146</v>
      </c>
      <c r="C279" s="4">
        <v>1975</v>
      </c>
      <c r="D279" s="5" t="s">
        <v>48</v>
      </c>
      <c r="E279" s="5" t="s">
        <v>49</v>
      </c>
      <c r="F279" s="6">
        <f>830-16</f>
        <v>814</v>
      </c>
      <c r="G279" s="7">
        <v>836</v>
      </c>
      <c r="H279" s="8" t="s">
        <v>59</v>
      </c>
      <c r="I279" s="2">
        <v>31272</v>
      </c>
      <c r="J279" s="9" t="s">
        <v>60</v>
      </c>
      <c r="K279" s="4" t="s">
        <v>923</v>
      </c>
      <c r="L279" s="4" t="str">
        <f>""</f>
        <v/>
      </c>
      <c r="M279" s="4" t="s">
        <v>335</v>
      </c>
      <c r="N279" s="15">
        <v>44399</v>
      </c>
      <c r="O279" s="5" t="s">
        <v>22</v>
      </c>
      <c r="P279" s="10" t="s">
        <v>22</v>
      </c>
      <c r="Q279" s="5" t="s">
        <v>23</v>
      </c>
      <c r="R279" s="2" t="str">
        <f>""</f>
        <v/>
      </c>
      <c r="S279" s="11" t="s">
        <v>23</v>
      </c>
    </row>
    <row r="280" spans="1:19" thickTop="1" thickBot="1" x14ac:dyDescent="0.35">
      <c r="A280" s="3" t="s">
        <v>924</v>
      </c>
      <c r="B280" s="4" t="s">
        <v>757</v>
      </c>
      <c r="C280" s="4">
        <v>-290</v>
      </c>
      <c r="D280" s="5" t="s">
        <v>33</v>
      </c>
      <c r="E280" s="5" t="s">
        <v>78</v>
      </c>
      <c r="F280" s="6">
        <f>126-114</f>
        <v>12</v>
      </c>
      <c r="G280" s="7">
        <f>212/2</f>
        <v>106</v>
      </c>
      <c r="H280" s="8" t="s">
        <v>18</v>
      </c>
      <c r="I280" s="2">
        <v>1479</v>
      </c>
      <c r="J280" s="9" t="s">
        <v>35</v>
      </c>
      <c r="K280" s="4" t="s">
        <v>770</v>
      </c>
      <c r="L280" s="2" t="s">
        <v>759</v>
      </c>
      <c r="M280" s="4" t="s">
        <v>759</v>
      </c>
      <c r="N280" s="5" t="str">
        <f>""</f>
        <v/>
      </c>
      <c r="O280" s="5" t="s">
        <v>22</v>
      </c>
      <c r="P280" s="10" t="s">
        <v>22</v>
      </c>
      <c r="Q280" s="5" t="s">
        <v>23</v>
      </c>
      <c r="R280" s="5" t="str">
        <f>""</f>
        <v/>
      </c>
      <c r="S280" s="11" t="s">
        <v>23</v>
      </c>
    </row>
    <row r="281" spans="1:19" thickTop="1" thickBot="1" x14ac:dyDescent="0.35">
      <c r="A281" s="3" t="s">
        <v>925</v>
      </c>
      <c r="B281" s="4" t="s">
        <v>146</v>
      </c>
      <c r="C281" s="4">
        <v>1977</v>
      </c>
      <c r="D281" s="5" t="s">
        <v>48</v>
      </c>
      <c r="E281" s="5" t="s">
        <v>49</v>
      </c>
      <c r="F281" s="6">
        <f>571-4</f>
        <v>567</v>
      </c>
      <c r="G281" s="7">
        <v>580</v>
      </c>
      <c r="H281" s="8" t="s">
        <v>59</v>
      </c>
      <c r="I281" s="2">
        <v>15162</v>
      </c>
      <c r="J281" s="9" t="s">
        <v>60</v>
      </c>
      <c r="K281" s="4" t="s">
        <v>926</v>
      </c>
      <c r="L281" s="2" t="str">
        <f>""</f>
        <v/>
      </c>
      <c r="M281" s="4" t="s">
        <v>927</v>
      </c>
      <c r="N281" s="10">
        <v>44157</v>
      </c>
      <c r="O281" s="5" t="s">
        <v>22</v>
      </c>
      <c r="P281" s="10" t="s">
        <v>22</v>
      </c>
      <c r="Q281" s="5" t="s">
        <v>22</v>
      </c>
      <c r="R281" s="5" t="s">
        <v>23</v>
      </c>
      <c r="S281" s="11" t="s">
        <v>23</v>
      </c>
    </row>
    <row r="282" spans="1:19" thickTop="1" thickBot="1" x14ac:dyDescent="0.35">
      <c r="A282" s="3" t="s">
        <v>928</v>
      </c>
      <c r="B282" s="4" t="s">
        <v>146</v>
      </c>
      <c r="C282" s="4">
        <v>1985</v>
      </c>
      <c r="D282" s="5" t="s">
        <v>48</v>
      </c>
      <c r="E282" s="5" t="s">
        <v>49</v>
      </c>
      <c r="F282" s="6">
        <v>632</v>
      </c>
      <c r="G282" s="7">
        <v>644</v>
      </c>
      <c r="H282" s="8" t="s">
        <v>147</v>
      </c>
      <c r="I282" s="2">
        <v>15143</v>
      </c>
      <c r="J282" s="9" t="s">
        <v>60</v>
      </c>
      <c r="K282" s="4" t="s">
        <v>929</v>
      </c>
      <c r="L282" s="4" t="str">
        <f>""</f>
        <v/>
      </c>
      <c r="M282" s="2" t="s">
        <v>930</v>
      </c>
      <c r="N282" s="10">
        <v>44188</v>
      </c>
      <c r="O282" s="5" t="s">
        <v>22</v>
      </c>
      <c r="P282" s="10" t="s">
        <v>22</v>
      </c>
      <c r="Q282" s="5" t="s">
        <v>22</v>
      </c>
      <c r="R282" s="5" t="s">
        <v>23</v>
      </c>
      <c r="S282" s="11" t="s">
        <v>23</v>
      </c>
    </row>
    <row r="283" spans="1:19" thickTop="1" thickBot="1" x14ac:dyDescent="0.35">
      <c r="A283" s="3" t="s">
        <v>931</v>
      </c>
      <c r="B283" s="4" t="s">
        <v>98</v>
      </c>
      <c r="C283" s="4">
        <v>1876</v>
      </c>
      <c r="D283" s="5" t="s">
        <v>16</v>
      </c>
      <c r="E283" s="5" t="s">
        <v>42</v>
      </c>
      <c r="F283" s="6">
        <f>453-22</f>
        <v>431</v>
      </c>
      <c r="G283" s="7">
        <v>484</v>
      </c>
      <c r="H283" s="8" t="s">
        <v>60</v>
      </c>
      <c r="I283" s="2">
        <v>901</v>
      </c>
      <c r="J283" s="2" t="s">
        <v>72</v>
      </c>
      <c r="K283" s="4" t="s">
        <v>932</v>
      </c>
      <c r="L283" s="2" t="s">
        <v>933</v>
      </c>
      <c r="M283" s="2" t="str">
        <f>""</f>
        <v/>
      </c>
      <c r="N283" s="15">
        <v>44682</v>
      </c>
      <c r="O283" s="5" t="s">
        <v>22</v>
      </c>
      <c r="P283" s="10" t="s">
        <v>22</v>
      </c>
      <c r="Q283" s="5" t="s">
        <v>22</v>
      </c>
      <c r="R283" s="2" t="s">
        <v>23</v>
      </c>
      <c r="S283" s="11" t="s">
        <v>23</v>
      </c>
    </row>
    <row r="284" spans="1:19" thickTop="1" thickBot="1" x14ac:dyDescent="0.35">
      <c r="A284" s="3" t="s">
        <v>934</v>
      </c>
      <c r="B284" s="4" t="s">
        <v>329</v>
      </c>
      <c r="C284" s="4">
        <v>2017</v>
      </c>
      <c r="D284" s="5" t="s">
        <v>330</v>
      </c>
      <c r="E284" s="5" t="s">
        <v>42</v>
      </c>
      <c r="F284" s="6">
        <f>284-6</f>
        <v>278</v>
      </c>
      <c r="G284" s="7">
        <v>304</v>
      </c>
      <c r="H284" s="8" t="s">
        <v>331</v>
      </c>
      <c r="I284" s="2" t="str">
        <f>""</f>
        <v/>
      </c>
      <c r="J284" s="9" t="str">
        <f>""</f>
        <v/>
      </c>
      <c r="K284" s="4" t="s">
        <v>935</v>
      </c>
      <c r="L284" s="4" t="str">
        <f>""</f>
        <v/>
      </c>
      <c r="M284" s="4" t="str">
        <f>""</f>
        <v/>
      </c>
      <c r="N284" s="5" t="str">
        <f>""</f>
        <v/>
      </c>
      <c r="O284" s="5" t="s">
        <v>22</v>
      </c>
      <c r="P284" s="10" t="s">
        <v>22</v>
      </c>
      <c r="Q284" s="5" t="s">
        <v>23</v>
      </c>
      <c r="R284" s="5" t="str">
        <f>""</f>
        <v/>
      </c>
      <c r="S284" s="11" t="s">
        <v>23</v>
      </c>
    </row>
    <row r="285" spans="1:19" thickTop="1" thickBot="1" x14ac:dyDescent="0.35">
      <c r="A285" s="3" t="s">
        <v>936</v>
      </c>
      <c r="B285" s="4" t="s">
        <v>937</v>
      </c>
      <c r="C285" s="4">
        <v>1851</v>
      </c>
      <c r="D285" s="5" t="s">
        <v>33</v>
      </c>
      <c r="E285" s="5" t="s">
        <v>34</v>
      </c>
      <c r="F285" s="6">
        <f>143-48</f>
        <v>95</v>
      </c>
      <c r="G285" s="7">
        <v>228</v>
      </c>
      <c r="H285" s="8" t="s">
        <v>18</v>
      </c>
      <c r="I285" s="2">
        <v>1336</v>
      </c>
      <c r="J285" s="9" t="s">
        <v>35</v>
      </c>
      <c r="K285" s="4" t="s">
        <v>938</v>
      </c>
      <c r="L285" s="4" t="s">
        <v>939</v>
      </c>
      <c r="M285" s="4" t="s">
        <v>939</v>
      </c>
      <c r="N285" s="10">
        <v>44166</v>
      </c>
      <c r="O285" s="5" t="s">
        <v>22</v>
      </c>
      <c r="P285" s="10" t="s">
        <v>22</v>
      </c>
      <c r="Q285" s="5" t="s">
        <v>22</v>
      </c>
      <c r="R285" s="2" t="s">
        <v>23</v>
      </c>
      <c r="S285" s="11" t="s">
        <v>23</v>
      </c>
    </row>
    <row r="286" spans="1:19" thickTop="1" thickBot="1" x14ac:dyDescent="0.35">
      <c r="A286" s="3" t="s">
        <v>940</v>
      </c>
      <c r="B286" s="2" t="s">
        <v>610</v>
      </c>
      <c r="C286" s="2">
        <v>1901</v>
      </c>
      <c r="D286" s="5" t="s">
        <v>33</v>
      </c>
      <c r="E286" s="5" t="s">
        <v>34</v>
      </c>
      <c r="F286" s="6">
        <f>142-42</f>
        <v>100</v>
      </c>
      <c r="G286" s="7">
        <v>164</v>
      </c>
      <c r="H286" s="2" t="s">
        <v>18</v>
      </c>
      <c r="I286" s="2">
        <v>12</v>
      </c>
      <c r="J286" s="2" t="s">
        <v>746</v>
      </c>
      <c r="K286" s="4" t="s">
        <v>941</v>
      </c>
      <c r="L286" s="2" t="s">
        <v>942</v>
      </c>
      <c r="M286" s="2" t="s">
        <v>854</v>
      </c>
      <c r="N286" s="15">
        <v>44335</v>
      </c>
      <c r="O286" s="5" t="s">
        <v>22</v>
      </c>
      <c r="P286" s="10" t="s">
        <v>22</v>
      </c>
      <c r="Q286" s="5" t="s">
        <v>23</v>
      </c>
      <c r="R286" s="2" t="str">
        <f>""</f>
        <v/>
      </c>
      <c r="S286" s="11" t="s">
        <v>23</v>
      </c>
    </row>
    <row r="287" spans="1:19" thickTop="1" thickBot="1" x14ac:dyDescent="0.35">
      <c r="A287" s="3" t="s">
        <v>943</v>
      </c>
      <c r="B287" s="4" t="s">
        <v>420</v>
      </c>
      <c r="C287" s="4">
        <v>-400</v>
      </c>
      <c r="D287" s="5" t="s">
        <v>421</v>
      </c>
      <c r="E287" s="5" t="s">
        <v>944</v>
      </c>
      <c r="F287" s="6">
        <v>632</v>
      </c>
      <c r="G287" s="7">
        <v>640</v>
      </c>
      <c r="H287" s="8" t="str">
        <f>""</f>
        <v/>
      </c>
      <c r="I287" s="2" t="str">
        <f>""</f>
        <v/>
      </c>
      <c r="J287" s="9" t="str">
        <f>""</f>
        <v/>
      </c>
      <c r="K287" s="4" t="s">
        <v>945</v>
      </c>
      <c r="L287" s="4" t="str">
        <f>""</f>
        <v/>
      </c>
      <c r="M287" s="4" t="str">
        <f>""</f>
        <v/>
      </c>
      <c r="N287" s="5" t="str">
        <f>""</f>
        <v/>
      </c>
      <c r="O287" s="5" t="s">
        <v>22</v>
      </c>
      <c r="P287" s="10" t="s">
        <v>22</v>
      </c>
      <c r="Q287" s="5" t="s">
        <v>23</v>
      </c>
      <c r="R287" s="2" t="str">
        <f>""</f>
        <v/>
      </c>
      <c r="S287" s="11" t="s">
        <v>23</v>
      </c>
    </row>
    <row r="288" spans="1:19" thickTop="1" thickBot="1" x14ac:dyDescent="0.35">
      <c r="A288" s="3" t="s">
        <v>946</v>
      </c>
      <c r="B288" s="4" t="s">
        <v>115</v>
      </c>
      <c r="C288" s="4">
        <v>-600</v>
      </c>
      <c r="D288" s="5" t="s">
        <v>41</v>
      </c>
      <c r="E288" s="5" t="s">
        <v>78</v>
      </c>
      <c r="F288" s="6">
        <f>93-30</f>
        <v>63</v>
      </c>
      <c r="G288" s="7">
        <v>106</v>
      </c>
      <c r="H288" s="8" t="s">
        <v>18</v>
      </c>
      <c r="I288" s="2">
        <v>3467</v>
      </c>
      <c r="J288" s="9" t="s">
        <v>28</v>
      </c>
      <c r="K288" s="4" t="s">
        <v>116</v>
      </c>
      <c r="L288" s="4" t="s">
        <v>117</v>
      </c>
      <c r="M288" s="4" t="s">
        <v>117</v>
      </c>
      <c r="N288" s="10">
        <v>44152</v>
      </c>
      <c r="O288" s="5" t="s">
        <v>22</v>
      </c>
      <c r="P288" s="10" t="s">
        <v>22</v>
      </c>
      <c r="Q288" s="5" t="s">
        <v>23</v>
      </c>
      <c r="R288" s="2" t="str">
        <f>""</f>
        <v/>
      </c>
      <c r="S288" s="11" t="s">
        <v>23</v>
      </c>
    </row>
    <row r="289" spans="1:19" thickTop="1" thickBot="1" x14ac:dyDescent="0.35">
      <c r="A289" s="3" t="s">
        <v>947</v>
      </c>
      <c r="B289" s="4" t="s">
        <v>948</v>
      </c>
      <c r="C289" s="4">
        <v>1945</v>
      </c>
      <c r="D289" s="5" t="s">
        <v>111</v>
      </c>
      <c r="E289" s="5" t="s">
        <v>34</v>
      </c>
      <c r="F289" s="6">
        <f>143-6</f>
        <v>137</v>
      </c>
      <c r="G289" s="7">
        <v>162</v>
      </c>
      <c r="H289" s="8" t="s">
        <v>18</v>
      </c>
      <c r="I289" s="2">
        <v>322</v>
      </c>
      <c r="J289" s="9" t="s">
        <v>746</v>
      </c>
      <c r="K289" s="4" t="s">
        <v>949</v>
      </c>
      <c r="L289" s="4" t="s">
        <v>950</v>
      </c>
      <c r="M289" s="4" t="s">
        <v>950</v>
      </c>
      <c r="N289" s="10">
        <v>45105</v>
      </c>
      <c r="O289" s="5" t="s">
        <v>22</v>
      </c>
      <c r="P289" s="10" t="s">
        <v>22</v>
      </c>
      <c r="Q289" s="5" t="s">
        <v>23</v>
      </c>
      <c r="R289" s="5" t="str">
        <f>""</f>
        <v/>
      </c>
      <c r="S289" s="11" t="s">
        <v>23</v>
      </c>
    </row>
    <row r="290" spans="1:19" thickTop="1" thickBot="1" x14ac:dyDescent="0.35">
      <c r="A290" s="3" t="s">
        <v>951</v>
      </c>
      <c r="B290" s="4" t="s">
        <v>25</v>
      </c>
      <c r="C290" s="4">
        <v>65</v>
      </c>
      <c r="D290" s="5" t="s">
        <v>26</v>
      </c>
      <c r="E290" s="5" t="s">
        <v>27</v>
      </c>
      <c r="F290" s="6">
        <f>617-550</f>
        <v>67</v>
      </c>
      <c r="G290" s="7">
        <v>111</v>
      </c>
      <c r="H290" s="8" t="s">
        <v>18</v>
      </c>
      <c r="I290" s="2">
        <v>7143</v>
      </c>
      <c r="J290" s="9" t="s">
        <v>28</v>
      </c>
      <c r="K290" s="4" t="s">
        <v>29</v>
      </c>
      <c r="L290" s="4" t="s">
        <v>30</v>
      </c>
      <c r="M290" s="4" t="s">
        <v>30</v>
      </c>
      <c r="N290" s="10">
        <v>44867</v>
      </c>
      <c r="O290" s="5" t="s">
        <v>23</v>
      </c>
      <c r="P290" s="10" t="s">
        <v>22</v>
      </c>
      <c r="Q290" s="5" t="s">
        <v>22</v>
      </c>
      <c r="R290" s="5" t="s">
        <v>22</v>
      </c>
      <c r="S290" s="11" t="s">
        <v>23</v>
      </c>
    </row>
    <row r="291" spans="1:19" thickTop="1" thickBot="1" x14ac:dyDescent="0.35">
      <c r="A291" s="3" t="s">
        <v>952</v>
      </c>
      <c r="B291" s="4" t="s">
        <v>83</v>
      </c>
      <c r="C291" s="4">
        <v>-358</v>
      </c>
      <c r="D291" s="5" t="s">
        <v>33</v>
      </c>
      <c r="E291" s="5" t="s">
        <v>78</v>
      </c>
      <c r="F291" s="6">
        <f>220-94</f>
        <v>126</v>
      </c>
      <c r="G291" s="7">
        <f>502/2</f>
        <v>251</v>
      </c>
      <c r="H291" s="8" t="s">
        <v>18</v>
      </c>
      <c r="I291" s="2">
        <v>618</v>
      </c>
      <c r="J291" s="9" t="s">
        <v>35</v>
      </c>
      <c r="K291" s="4" t="s">
        <v>180</v>
      </c>
      <c r="L291" s="4" t="s">
        <v>85</v>
      </c>
      <c r="M291" s="4" t="s">
        <v>181</v>
      </c>
      <c r="N291" s="10">
        <v>45047</v>
      </c>
      <c r="O291" s="5" t="s">
        <v>22</v>
      </c>
      <c r="P291" s="10" t="s">
        <v>22</v>
      </c>
      <c r="Q291" s="5" t="s">
        <v>22</v>
      </c>
      <c r="R291" s="2" t="s">
        <v>23</v>
      </c>
      <c r="S291" s="11" t="s">
        <v>23</v>
      </c>
    </row>
    <row r="292" spans="1:19" thickTop="1" thickBot="1" x14ac:dyDescent="0.35">
      <c r="A292" s="3" t="s">
        <v>953</v>
      </c>
      <c r="B292" s="4" t="s">
        <v>25</v>
      </c>
      <c r="C292" s="4">
        <v>53</v>
      </c>
      <c r="D292" s="5" t="s">
        <v>26</v>
      </c>
      <c r="E292" s="5" t="s">
        <v>27</v>
      </c>
      <c r="F292" s="6">
        <f>763-702</f>
        <v>61</v>
      </c>
      <c r="G292" s="7">
        <v>110</v>
      </c>
      <c r="H292" s="8" t="s">
        <v>18</v>
      </c>
      <c r="I292" s="2">
        <v>7143</v>
      </c>
      <c r="J292" s="9" t="s">
        <v>28</v>
      </c>
      <c r="K292" s="4" t="s">
        <v>29</v>
      </c>
      <c r="L292" s="4" t="s">
        <v>30</v>
      </c>
      <c r="M292" s="4" t="s">
        <v>30</v>
      </c>
      <c r="N292" s="10">
        <v>44867</v>
      </c>
      <c r="O292" s="10" t="s">
        <v>23</v>
      </c>
      <c r="P292" s="10" t="s">
        <v>23</v>
      </c>
      <c r="Q292" s="5"/>
      <c r="R292" s="5"/>
    </row>
    <row r="293" spans="1:19" thickTop="1" thickBot="1" x14ac:dyDescent="0.35">
      <c r="A293" s="3" t="s">
        <v>954</v>
      </c>
      <c r="B293" s="4" t="s">
        <v>203</v>
      </c>
      <c r="C293" s="4">
        <v>-350</v>
      </c>
      <c r="D293" s="5" t="s">
        <v>33</v>
      </c>
      <c r="E293" s="5" t="s">
        <v>78</v>
      </c>
      <c r="F293" s="6">
        <f>405-64</f>
        <v>341</v>
      </c>
      <c r="G293" s="7">
        <v>484</v>
      </c>
      <c r="H293" s="8" t="s">
        <v>955</v>
      </c>
      <c r="I293" s="2">
        <v>1036</v>
      </c>
      <c r="J293" s="9" t="s">
        <v>35</v>
      </c>
      <c r="K293" s="4" t="s">
        <v>956</v>
      </c>
      <c r="L293" s="4" t="s">
        <v>386</v>
      </c>
      <c r="M293" s="2" t="s">
        <v>386</v>
      </c>
      <c r="N293" s="15">
        <v>43617</v>
      </c>
      <c r="O293" s="5" t="s">
        <v>22</v>
      </c>
      <c r="P293" s="10" t="s">
        <v>22</v>
      </c>
      <c r="Q293" s="5" t="s">
        <v>22</v>
      </c>
      <c r="R293" s="2" t="s">
        <v>22</v>
      </c>
      <c r="S293" s="11" t="s">
        <v>22</v>
      </c>
    </row>
    <row r="294" spans="1:19" thickTop="1" thickBot="1" x14ac:dyDescent="0.35">
      <c r="A294" s="3" t="s">
        <v>957</v>
      </c>
      <c r="B294" s="4" t="s">
        <v>214</v>
      </c>
      <c r="C294" s="4">
        <v>1895</v>
      </c>
      <c r="D294" s="5" t="s">
        <v>41</v>
      </c>
      <c r="E294" s="5" t="s">
        <v>42</v>
      </c>
      <c r="F294" s="6">
        <f>79-63</f>
        <v>16</v>
      </c>
      <c r="G294" s="7">
        <v>37</v>
      </c>
      <c r="H294" s="8" t="s">
        <v>18</v>
      </c>
      <c r="I294" s="2">
        <v>1459</v>
      </c>
      <c r="J294" s="9" t="s">
        <v>35</v>
      </c>
      <c r="K294" s="4" t="s">
        <v>215</v>
      </c>
      <c r="L294" s="4" t="s">
        <v>216</v>
      </c>
      <c r="M294" s="2" t="str">
        <f>""</f>
        <v/>
      </c>
      <c r="N294" s="2" t="str">
        <f>""</f>
        <v/>
      </c>
      <c r="O294" s="5" t="s">
        <v>23</v>
      </c>
      <c r="P294" s="10" t="s">
        <v>22</v>
      </c>
      <c r="Q294" s="5" t="s">
        <v>23</v>
      </c>
      <c r="R294" s="5" t="str">
        <f>""</f>
        <v/>
      </c>
      <c r="S294" s="11" t="s">
        <v>23</v>
      </c>
    </row>
    <row r="295" spans="1:19" thickTop="1" thickBot="1" x14ac:dyDescent="0.35">
      <c r="A295" s="3" t="s">
        <v>958</v>
      </c>
      <c r="B295" s="4" t="s">
        <v>214</v>
      </c>
      <c r="C295" s="4">
        <v>1895</v>
      </c>
      <c r="D295" s="5" t="s">
        <v>41</v>
      </c>
      <c r="E295" s="5" t="s">
        <v>42</v>
      </c>
      <c r="F295" s="6">
        <f>249-198</f>
        <v>51</v>
      </c>
      <c r="G295" s="7">
        <v>37</v>
      </c>
      <c r="H295" s="8" t="s">
        <v>18</v>
      </c>
      <c r="I295" s="2">
        <v>1459</v>
      </c>
      <c r="J295" s="9" t="s">
        <v>35</v>
      </c>
      <c r="K295" s="4" t="s">
        <v>215</v>
      </c>
      <c r="L295" s="4" t="s">
        <v>216</v>
      </c>
      <c r="M295" s="2" t="str">
        <f>""</f>
        <v/>
      </c>
      <c r="N295" s="5" t="str">
        <f>""</f>
        <v/>
      </c>
      <c r="O295" s="5" t="s">
        <v>23</v>
      </c>
      <c r="P295" s="10" t="s">
        <v>22</v>
      </c>
      <c r="Q295" s="5" t="s">
        <v>22</v>
      </c>
      <c r="R295" s="2" t="s">
        <v>22</v>
      </c>
      <c r="S295" s="11" t="s">
        <v>23</v>
      </c>
    </row>
    <row r="296" spans="1:19" thickTop="1" thickBot="1" x14ac:dyDescent="0.35">
      <c r="A296" s="3" t="s">
        <v>959</v>
      </c>
      <c r="B296" s="4" t="s">
        <v>106</v>
      </c>
      <c r="C296" s="4">
        <v>1884</v>
      </c>
      <c r="D296" s="5" t="s">
        <v>16</v>
      </c>
      <c r="E296" s="5" t="s">
        <v>42</v>
      </c>
      <c r="F296" s="6">
        <f>313-26</f>
        <v>287</v>
      </c>
      <c r="G296" s="7">
        <v>358</v>
      </c>
      <c r="H296" s="8" t="s">
        <v>18</v>
      </c>
      <c r="I296" s="2">
        <v>3251</v>
      </c>
      <c r="J296" s="9" t="s">
        <v>28</v>
      </c>
      <c r="K296" s="4" t="s">
        <v>960</v>
      </c>
      <c r="L296" s="2" t="s">
        <v>588</v>
      </c>
      <c r="M296" s="4" t="str">
        <f>""</f>
        <v/>
      </c>
      <c r="N296" s="15">
        <v>44438</v>
      </c>
      <c r="O296" s="5" t="s">
        <v>22</v>
      </c>
      <c r="P296" s="10" t="s">
        <v>22</v>
      </c>
      <c r="Q296" s="5" t="s">
        <v>23</v>
      </c>
      <c r="R296" s="5" t="str">
        <f>""</f>
        <v/>
      </c>
      <c r="S296" s="11" t="s">
        <v>23</v>
      </c>
    </row>
    <row r="297" spans="1:19" thickTop="1" thickBot="1" x14ac:dyDescent="0.35">
      <c r="A297" s="3" t="s">
        <v>961</v>
      </c>
      <c r="B297" s="4" t="s">
        <v>962</v>
      </c>
      <c r="C297" s="4">
        <v>2015</v>
      </c>
      <c r="D297" s="5" t="s">
        <v>111</v>
      </c>
      <c r="E297" s="5" t="s">
        <v>34</v>
      </c>
      <c r="F297" s="6">
        <f>694-2</f>
        <v>692</v>
      </c>
      <c r="G297" s="7">
        <v>750</v>
      </c>
      <c r="H297" s="8" t="s">
        <v>94</v>
      </c>
      <c r="I297" s="2" t="str">
        <f>""</f>
        <v/>
      </c>
      <c r="J297" s="9" t="s">
        <v>95</v>
      </c>
      <c r="K297" s="4" t="s">
        <v>963</v>
      </c>
      <c r="L297" s="2" t="str">
        <f>""</f>
        <v/>
      </c>
      <c r="M297" s="2" t="s">
        <v>964</v>
      </c>
      <c r="N297" s="2" t="str">
        <f>""</f>
        <v/>
      </c>
      <c r="O297" s="5" t="s">
        <v>22</v>
      </c>
      <c r="P297" s="10" t="s">
        <v>22</v>
      </c>
      <c r="Q297" s="5" t="s">
        <v>22</v>
      </c>
      <c r="R297" s="5" t="s">
        <v>23</v>
      </c>
      <c r="S297" s="11" t="s">
        <v>23</v>
      </c>
    </row>
    <row r="298" spans="1:19" thickTop="1" thickBot="1" x14ac:dyDescent="0.35">
      <c r="A298" s="3" t="s">
        <v>965</v>
      </c>
      <c r="B298" s="4" t="s">
        <v>966</v>
      </c>
      <c r="C298" s="4">
        <v>2022</v>
      </c>
      <c r="D298" s="5" t="s">
        <v>111</v>
      </c>
      <c r="E298" s="5" t="s">
        <v>34</v>
      </c>
      <c r="F298" s="6">
        <f>398-2</f>
        <v>396</v>
      </c>
      <c r="G298" s="7">
        <v>440</v>
      </c>
      <c r="H298" s="8" t="s">
        <v>94</v>
      </c>
      <c r="I298" s="2" t="str">
        <f>""</f>
        <v/>
      </c>
      <c r="J298" s="9" t="s">
        <v>112</v>
      </c>
      <c r="K298" s="4" t="s">
        <v>967</v>
      </c>
      <c r="L298" s="4" t="str">
        <f>""</f>
        <v/>
      </c>
      <c r="M298" s="2" t="str">
        <f>""</f>
        <v/>
      </c>
      <c r="N298" s="2" t="str">
        <f>""</f>
        <v/>
      </c>
      <c r="O298" s="5" t="s">
        <v>22</v>
      </c>
      <c r="P298" s="10" t="s">
        <v>22</v>
      </c>
      <c r="Q298" s="5" t="s">
        <v>22</v>
      </c>
      <c r="R298" s="2" t="s">
        <v>22</v>
      </c>
      <c r="S298" s="11" t="s">
        <v>23</v>
      </c>
    </row>
    <row r="299" spans="1:19" thickTop="1" thickBot="1" x14ac:dyDescent="0.35">
      <c r="A299" s="3" t="s">
        <v>968</v>
      </c>
      <c r="B299" s="4" t="s">
        <v>214</v>
      </c>
      <c r="C299" s="4">
        <v>1895</v>
      </c>
      <c r="D299" s="5" t="s">
        <v>41</v>
      </c>
      <c r="E299" s="5" t="s">
        <v>42</v>
      </c>
      <c r="F299" s="6">
        <f>179-155</f>
        <v>24</v>
      </c>
      <c r="G299" s="7">
        <v>37</v>
      </c>
      <c r="H299" s="8" t="s">
        <v>18</v>
      </c>
      <c r="I299" s="2">
        <v>1459</v>
      </c>
      <c r="J299" s="9" t="s">
        <v>35</v>
      </c>
      <c r="K299" s="4" t="s">
        <v>215</v>
      </c>
      <c r="L299" s="4" t="s">
        <v>216</v>
      </c>
      <c r="M299" s="4" t="str">
        <f>""</f>
        <v/>
      </c>
      <c r="N299" s="2" t="str">
        <f>""</f>
        <v/>
      </c>
      <c r="O299" s="5" t="s">
        <v>23</v>
      </c>
      <c r="P299" s="10" t="s">
        <v>22</v>
      </c>
      <c r="Q299" s="5" t="s">
        <v>23</v>
      </c>
      <c r="R299" s="5" t="str">
        <f>""</f>
        <v/>
      </c>
      <c r="S299" s="11" t="s">
        <v>23</v>
      </c>
    </row>
    <row r="300" spans="1:19" thickTop="1" thickBot="1" x14ac:dyDescent="0.35">
      <c r="A300" s="3" t="s">
        <v>969</v>
      </c>
      <c r="B300" s="4" t="s">
        <v>753</v>
      </c>
      <c r="C300" s="4">
        <v>260</v>
      </c>
      <c r="D300" s="5" t="s">
        <v>164</v>
      </c>
      <c r="E300" s="5" t="s">
        <v>78</v>
      </c>
      <c r="F300" s="6">
        <f>67-38</f>
        <v>29</v>
      </c>
      <c r="G300" s="7">
        <f>260/2</f>
        <v>130</v>
      </c>
      <c r="H300" s="8" t="s">
        <v>18</v>
      </c>
      <c r="I300" s="2">
        <v>1651</v>
      </c>
      <c r="J300" s="9" t="s">
        <v>35</v>
      </c>
      <c r="K300" s="4" t="s">
        <v>754</v>
      </c>
      <c r="L300" s="4" t="s">
        <v>85</v>
      </c>
      <c r="M300" s="4" t="s">
        <v>85</v>
      </c>
      <c r="N300" s="5" t="str">
        <f>""</f>
        <v/>
      </c>
      <c r="O300" s="5" t="s">
        <v>22</v>
      </c>
      <c r="P300" s="10" t="s">
        <v>22</v>
      </c>
      <c r="Q300" s="5" t="s">
        <v>22</v>
      </c>
      <c r="R300" s="5" t="s">
        <v>23</v>
      </c>
      <c r="S300" s="11" t="s">
        <v>23</v>
      </c>
    </row>
    <row r="301" spans="1:19" thickTop="1" thickBot="1" x14ac:dyDescent="0.35">
      <c r="A301" s="3" t="s">
        <v>970</v>
      </c>
      <c r="B301" s="4" t="s">
        <v>971</v>
      </c>
      <c r="C301" s="4">
        <v>-590</v>
      </c>
      <c r="D301" s="5" t="s">
        <v>164</v>
      </c>
      <c r="E301" s="5" t="s">
        <v>78</v>
      </c>
      <c r="F301" s="6">
        <f>133-38</f>
        <v>95</v>
      </c>
      <c r="G301" s="7">
        <f>454/2</f>
        <v>227</v>
      </c>
      <c r="H301" s="8" t="s">
        <v>18</v>
      </c>
      <c r="I301" s="2">
        <v>6696</v>
      </c>
      <c r="J301" s="9" t="s">
        <v>28</v>
      </c>
      <c r="K301" s="4" t="s">
        <v>322</v>
      </c>
      <c r="L301" s="2" t="s">
        <v>323</v>
      </c>
      <c r="M301" s="4" t="s">
        <v>324</v>
      </c>
      <c r="N301" s="10">
        <v>43688</v>
      </c>
      <c r="O301" s="5" t="s">
        <v>22</v>
      </c>
      <c r="P301" s="10" t="s">
        <v>22</v>
      </c>
      <c r="Q301" s="5" t="s">
        <v>22</v>
      </c>
      <c r="R301" s="5" t="s">
        <v>23</v>
      </c>
      <c r="S301" s="11" t="s">
        <v>23</v>
      </c>
    </row>
    <row r="302" spans="1:19" thickTop="1" thickBot="1" x14ac:dyDescent="0.35">
      <c r="A302" s="3" t="s">
        <v>972</v>
      </c>
      <c r="B302" s="4" t="s">
        <v>733</v>
      </c>
      <c r="C302" s="4">
        <v>1924</v>
      </c>
      <c r="D302" s="5" t="s">
        <v>41</v>
      </c>
      <c r="E302" s="5" t="s">
        <v>255</v>
      </c>
      <c r="F302" s="6">
        <f>95-6</f>
        <v>89</v>
      </c>
      <c r="G302" s="7">
        <f>340/2</f>
        <v>170</v>
      </c>
      <c r="H302" s="8" t="s">
        <v>134</v>
      </c>
      <c r="I302" s="2">
        <v>320</v>
      </c>
      <c r="J302" s="9" t="s">
        <v>41</v>
      </c>
      <c r="K302" s="4" t="s">
        <v>734</v>
      </c>
      <c r="L302" s="4" t="str">
        <f>""</f>
        <v/>
      </c>
      <c r="M302" s="4" t="s">
        <v>735</v>
      </c>
      <c r="N302" s="10">
        <v>44461</v>
      </c>
      <c r="O302" s="5" t="s">
        <v>22</v>
      </c>
      <c r="P302" s="10" t="s">
        <v>22</v>
      </c>
      <c r="Q302" s="5" t="s">
        <v>22</v>
      </c>
      <c r="R302" s="5" t="s">
        <v>22</v>
      </c>
      <c r="S302" s="11" t="s">
        <v>23</v>
      </c>
    </row>
    <row r="303" spans="1:19" thickTop="1" thickBot="1" x14ac:dyDescent="0.35">
      <c r="A303" s="3" t="s">
        <v>973</v>
      </c>
      <c r="B303" s="4" t="s">
        <v>439</v>
      </c>
      <c r="C303" s="4">
        <v>1295</v>
      </c>
      <c r="D303" s="5" t="s">
        <v>41</v>
      </c>
      <c r="E303" s="5" t="s">
        <v>133</v>
      </c>
      <c r="F303" s="6">
        <v>74</v>
      </c>
      <c r="G303" s="7">
        <v>132</v>
      </c>
      <c r="H303" s="8" t="s">
        <v>134</v>
      </c>
      <c r="I303" s="2">
        <v>107</v>
      </c>
      <c r="J303" s="9" t="s">
        <v>41</v>
      </c>
      <c r="K303" s="4" t="s">
        <v>974</v>
      </c>
      <c r="L303" s="4" t="s">
        <v>975</v>
      </c>
      <c r="M303" s="4" t="s">
        <v>975</v>
      </c>
      <c r="N303" s="10">
        <v>42573</v>
      </c>
      <c r="O303" s="5" t="s">
        <v>22</v>
      </c>
      <c r="P303" s="10" t="s">
        <v>22</v>
      </c>
      <c r="Q303" s="5" t="s">
        <v>22</v>
      </c>
      <c r="R303" s="2" t="s">
        <v>22</v>
      </c>
      <c r="S303" s="11" t="s">
        <v>23</v>
      </c>
    </row>
    <row r="304" spans="1:19" thickTop="1" thickBot="1" x14ac:dyDescent="0.35">
      <c r="A304" s="3" t="s">
        <v>976</v>
      </c>
      <c r="B304" s="4" t="s">
        <v>776</v>
      </c>
      <c r="C304" s="4">
        <v>1879</v>
      </c>
      <c r="D304" s="5" t="s">
        <v>164</v>
      </c>
      <c r="E304" s="5" t="s">
        <v>17</v>
      </c>
      <c r="F304" s="6">
        <f>162-30</f>
        <v>132</v>
      </c>
      <c r="G304" s="7">
        <v>176</v>
      </c>
      <c r="H304" s="8" t="s">
        <v>18</v>
      </c>
      <c r="I304" s="2">
        <v>601</v>
      </c>
      <c r="J304" s="2" t="s">
        <v>35</v>
      </c>
      <c r="K304" s="4" t="s">
        <v>977</v>
      </c>
      <c r="L304" s="2" t="s">
        <v>978</v>
      </c>
      <c r="M304" s="2" t="s">
        <v>979</v>
      </c>
      <c r="N304" s="10">
        <v>45108</v>
      </c>
      <c r="O304" s="5" t="s">
        <v>22</v>
      </c>
      <c r="P304" s="10" t="s">
        <v>22</v>
      </c>
      <c r="Q304" s="5" t="s">
        <v>23</v>
      </c>
      <c r="R304" s="2" t="str">
        <f>""</f>
        <v/>
      </c>
      <c r="S304" s="11" t="s">
        <v>23</v>
      </c>
    </row>
    <row r="305" spans="1:26" s="20" customFormat="1" thickTop="1" thickBot="1" x14ac:dyDescent="0.35">
      <c r="A305" s="3" t="s">
        <v>980</v>
      </c>
      <c r="B305" s="4" t="s">
        <v>981</v>
      </c>
      <c r="C305" s="4">
        <v>2021</v>
      </c>
      <c r="D305" s="5" t="s">
        <v>330</v>
      </c>
      <c r="E305" s="5" t="s">
        <v>42</v>
      </c>
      <c r="F305" s="6">
        <f>603-10</f>
        <v>593</v>
      </c>
      <c r="G305" s="7">
        <v>620</v>
      </c>
      <c r="H305" s="8" t="s">
        <v>331</v>
      </c>
      <c r="I305" s="2" t="str">
        <f>""</f>
        <v/>
      </c>
      <c r="J305" s="9" t="str">
        <f>""</f>
        <v/>
      </c>
      <c r="K305" s="4" t="s">
        <v>982</v>
      </c>
      <c r="L305" s="2" t="str">
        <f>""</f>
        <v/>
      </c>
      <c r="M305" s="2" t="str">
        <f>""</f>
        <v/>
      </c>
      <c r="N305" s="10">
        <v>44317</v>
      </c>
      <c r="O305" s="5" t="s">
        <v>22</v>
      </c>
      <c r="P305" s="10" t="s">
        <v>22</v>
      </c>
      <c r="Q305" s="5" t="s">
        <v>23</v>
      </c>
      <c r="R305" s="5" t="str">
        <f>""</f>
        <v/>
      </c>
      <c r="S305" s="11" t="s">
        <v>23</v>
      </c>
      <c r="T305" s="19"/>
      <c r="U305" s="19"/>
      <c r="V305" s="19"/>
      <c r="W305" s="19"/>
      <c r="X305" s="19"/>
      <c r="Y305" s="19"/>
      <c r="Z305" s="19"/>
    </row>
    <row r="306" spans="1:26" thickTop="1" thickBot="1" x14ac:dyDescent="0.35">
      <c r="A306" s="14" t="s">
        <v>983</v>
      </c>
      <c r="B306" s="4" t="s">
        <v>318</v>
      </c>
      <c r="C306" s="4">
        <v>1959</v>
      </c>
      <c r="D306" s="5" t="s">
        <v>16</v>
      </c>
      <c r="E306" s="5" t="s">
        <v>42</v>
      </c>
      <c r="F306" s="6">
        <f>240-10</f>
        <v>230</v>
      </c>
      <c r="G306" s="7">
        <v>260</v>
      </c>
      <c r="H306" s="8" t="s">
        <v>18</v>
      </c>
      <c r="I306" s="2">
        <v>103</v>
      </c>
      <c r="J306" s="9" t="s">
        <v>19</v>
      </c>
      <c r="K306" s="4" t="s">
        <v>984</v>
      </c>
      <c r="L306" s="4" t="str">
        <f>""</f>
        <v/>
      </c>
      <c r="M306" s="4" t="str">
        <f>""</f>
        <v/>
      </c>
      <c r="N306" s="10">
        <v>42824</v>
      </c>
      <c r="O306" s="5" t="s">
        <v>22</v>
      </c>
      <c r="P306" s="10" t="s">
        <v>22</v>
      </c>
      <c r="Q306" s="5" t="s">
        <v>22</v>
      </c>
      <c r="R306" s="5" t="s">
        <v>23</v>
      </c>
      <c r="S306" s="11" t="s">
        <v>23</v>
      </c>
    </row>
    <row r="366" spans="1:1" thickTop="1" thickBot="1" x14ac:dyDescent="0.35">
      <c r="A366" s="14"/>
    </row>
    <row r="367" spans="1:1" thickTop="1" thickBot="1" x14ac:dyDescent="0.35">
      <c r="A367" s="14"/>
    </row>
    <row r="368" spans="1:1" thickTop="1" thickBot="1" x14ac:dyDescent="0.35">
      <c r="A368" s="14"/>
    </row>
    <row r="372" ht="14.4" x14ac:dyDescent="0.3"/>
  </sheetData>
  <conditionalFormatting sqref="A1:S1 A1048573:S1048576">
    <cfRule type="expression" dxfId="198" priority="200">
      <formula>AND($A1&lt;&gt;"",#REF!&lt;&gt;"")</formula>
    </cfRule>
  </conditionalFormatting>
  <conditionalFormatting sqref="A1:S1048576">
    <cfRule type="expression" dxfId="197" priority="184">
      <formula>AND(ROW()&gt;4,$A1="")</formula>
    </cfRule>
  </conditionalFormatting>
  <conditionalFormatting sqref="A2:S3 A6:S9 O10:P1048572 A14:N28 Q14:S28 A35:N36 Q35:S36 A39:N40 Q39:S40 A43:N45 Q43:S45 A48:N50 Q48:S50 B52:N52 Q52:S66 A53:N66 A76:N77 Q76:S77 A83:N83 Q83:S83 A86:N91 Q86:S91 A96:N101 Q96:S101 A104:N113 Q104:S113 A116:N118 Q116:S118 A121:N124 Q121:S124 A127:N127 Q127:S127 B129:N129 Q129:S130 A130:N130 A135:N148 Q135:S148 A152:N160 Q152:S160 A163:N163 Q163:S163 A166:N167 Q166:S167 A170:N171 Q170:S171 A176:N177 Q176:S177 A182:N183 Q182:S183 A186:N187 Q186:S187 A190:N212 Q190:S212 A215:N215 Q215:S215 A222:N225 Q222:S225 A230:N230 Q230:S230 B233:N243 Q233:S243 A245:N258 Q245:S258 A261:N261 Q261:S261 B263:N264 Q263:S280 A265:N280 A283:N292 Q283:S292 A295:N1048572 Q295:S1048572">
    <cfRule type="expression" dxfId="196" priority="185">
      <formula>AND($A2&lt;&gt;"",$A3&lt;&gt;"")</formula>
    </cfRule>
  </conditionalFormatting>
  <conditionalFormatting sqref="A2:S296 O297:P305">
    <cfRule type="expression" dxfId="195" priority="183">
      <formula>ROW()=CELL("ligne")</formula>
    </cfRule>
  </conditionalFormatting>
  <conditionalFormatting sqref="A4:S5 P6:P305 A10:O10 Q10:S10 A12:O13 Q12:S13 A29:O29 Q29:S29 A31:O34 Q31:S34 A37:O38 Q37:S38 A41:O42 Q41:S42 A46:O47 Q46:S47 A51:O52 Q51:S52 A75:O75 Q75:S75 A84:O85 Q84:S85 A92:O95 Q92:S95 A102:O103 Q102:S103 A114:O115 Q114:S115 A119:O120 Q119:S120 A125:O126 Q125:S126 A128:O129 Q128:S129 A131:O134 Q131:S134 A151:O151 Q151:S151 A161:O162 Q161:S162 A164:O165 Q164:S165 A168:O169 Q168:S169 A175:O175 Q175:S175 A178:O178 Q178:S178 A180:O181 Q180:S181 A184:O185 Q184:S185 A188:O189 Q188:S189 A213:O214 Q213:S214 A259:O260 Q259:S260 A264:O264 Q264:S264 A281:O282 Q281:S282 A293:O294 Q293:S294">
    <cfRule type="expression" dxfId="194" priority="186">
      <formula>AND($A4&lt;&gt;"",$A6&lt;&gt;"")</formula>
    </cfRule>
  </conditionalFormatting>
  <conditionalFormatting sqref="A11:S11 A30:S30 C85:S85 A149:S150 A174:S174 A179:S179 A228:S229 A262:S263">
    <cfRule type="expression" dxfId="193" priority="187">
      <formula>AND($A11&lt;&gt;"",$A14&lt;&gt;"")</formula>
    </cfRule>
  </conditionalFormatting>
  <conditionalFormatting sqref="A67:S70">
    <cfRule type="expression" dxfId="192" priority="197">
      <formula>AND($A67&lt;&gt;"",$A76&lt;&gt;"")</formula>
    </cfRule>
  </conditionalFormatting>
  <conditionalFormatting sqref="A71:S71">
    <cfRule type="expression" dxfId="191" priority="195">
      <formula>AND($A71&lt;&gt;"",$A79&lt;&gt;"")</formula>
    </cfRule>
  </conditionalFormatting>
  <conditionalFormatting sqref="A72:S72">
    <cfRule type="expression" dxfId="190" priority="196">
      <formula>AND($A72&lt;&gt;"",$A79&lt;&gt;"")</formula>
    </cfRule>
  </conditionalFormatting>
  <conditionalFormatting sqref="A73:S74 A80:S82 A216:S221">
    <cfRule type="expression" dxfId="189" priority="190">
      <formula>AND($A73&lt;&gt;"",$A79&lt;&gt;"")</formula>
    </cfRule>
  </conditionalFormatting>
  <conditionalFormatting sqref="A78:S79 A242:S244">
    <cfRule type="expression" dxfId="188" priority="188">
      <formula>AND($A78&lt;&gt;"",$A83&lt;&gt;"")</formula>
    </cfRule>
  </conditionalFormatting>
  <conditionalFormatting sqref="A172:S173 A226:S227">
    <cfRule type="expression" dxfId="187" priority="189">
      <formula>AND($A172&lt;&gt;"",$A176&lt;&gt;"")</formula>
    </cfRule>
  </conditionalFormatting>
  <conditionalFormatting sqref="A231:S237">
    <cfRule type="expression" dxfId="186" priority="193">
      <formula>AND($A231&lt;&gt;"",$A245&lt;&gt;"")</formula>
    </cfRule>
  </conditionalFormatting>
  <conditionalFormatting sqref="A238:S241">
    <cfRule type="expression" dxfId="185" priority="192">
      <formula>AND($A238&lt;&gt;"",$A248&lt;&gt;"")</formula>
    </cfRule>
  </conditionalFormatting>
  <conditionalFormatting sqref="A1048573:S1048576">
    <cfRule type="expression" dxfId="184" priority="198">
      <formula>AND(#REF!&lt;&gt;"",#REF!&lt;&gt;"")</formula>
    </cfRule>
  </conditionalFormatting>
  <conditionalFormatting sqref="B172:C172">
    <cfRule type="expression" dxfId="183" priority="170">
      <formula>AND($A172&lt;&gt;"",$A173&lt;&gt;"")</formula>
    </cfRule>
  </conditionalFormatting>
  <conditionalFormatting sqref="B5:S5">
    <cfRule type="expression" dxfId="182" priority="87">
      <formula>AND($A5&lt;&gt;"",$A6&lt;&gt;"")</formula>
    </cfRule>
  </conditionalFormatting>
  <conditionalFormatting sqref="B103:S103">
    <cfRule type="expression" dxfId="181" priority="145">
      <formula>AND($A103&lt;&gt;"",$A104&lt;&gt;"")</formula>
    </cfRule>
  </conditionalFormatting>
  <conditionalFormatting sqref="B229:S229">
    <cfRule type="expression" dxfId="180" priority="191">
      <formula>AND($A229&lt;&gt;"",$A245&lt;&gt;"")</formula>
    </cfRule>
  </conditionalFormatting>
  <conditionalFormatting sqref="B244:S244">
    <cfRule type="expression" dxfId="179" priority="194">
      <formula>AND($A244&lt;&gt;"",#REF!&lt;&gt;"")</formula>
    </cfRule>
  </conditionalFormatting>
  <conditionalFormatting sqref="I41">
    <cfRule type="expression" dxfId="178" priority="179">
      <formula>AND($A41&lt;&gt;"",$A42&lt;&gt;"")</formula>
    </cfRule>
  </conditionalFormatting>
  <conditionalFormatting sqref="I46:I47">
    <cfRule type="expression" dxfId="177" priority="178">
      <formula>AND($A46&lt;&gt;"",$A47&lt;&gt;"")</formula>
    </cfRule>
  </conditionalFormatting>
  <conditionalFormatting sqref="I80">
    <cfRule type="expression" dxfId="176" priority="177">
      <formula>AND($A80&lt;&gt;"",$A81&lt;&gt;"")</formula>
    </cfRule>
  </conditionalFormatting>
  <conditionalFormatting sqref="I84:I85">
    <cfRule type="expression" dxfId="175" priority="176">
      <formula>AND($A84&lt;&gt;"",$A85&lt;&gt;"")</formula>
    </cfRule>
  </conditionalFormatting>
  <conditionalFormatting sqref="I181">
    <cfRule type="expression" dxfId="174" priority="175">
      <formula>AND($A181&lt;&gt;"",$A182&lt;&gt;"")</formula>
    </cfRule>
  </conditionalFormatting>
  <conditionalFormatting sqref="I229">
    <cfRule type="expression" dxfId="173" priority="174">
      <formula>AND($A229&lt;&gt;"",$A230&lt;&gt;"")</formula>
    </cfRule>
  </conditionalFormatting>
  <conditionalFormatting sqref="I297">
    <cfRule type="expression" dxfId="172" priority="173">
      <formula>ROW()=CELL("ligne")</formula>
    </cfRule>
  </conditionalFormatting>
  <conditionalFormatting sqref="I13:J13">
    <cfRule type="expression" dxfId="171" priority="163">
      <formula>AND($A13&lt;&gt;"",$A14&lt;&gt;"")</formula>
    </cfRule>
  </conditionalFormatting>
  <conditionalFormatting sqref="I29:J30">
    <cfRule type="expression" dxfId="170" priority="164">
      <formula>AND($A29&lt;&gt;"",$A30&lt;&gt;"")</formula>
    </cfRule>
  </conditionalFormatting>
  <conditionalFormatting sqref="I67:J67">
    <cfRule type="expression" dxfId="169" priority="166">
      <formula>AND($A67&lt;&gt;"",$A68&lt;&gt;"")</formula>
    </cfRule>
  </conditionalFormatting>
  <conditionalFormatting sqref="I92:J92">
    <cfRule type="expression" dxfId="168" priority="167">
      <formula>AND($A92&lt;&gt;"",$A93&lt;&gt;"")</formula>
    </cfRule>
  </conditionalFormatting>
  <conditionalFormatting sqref="I120:J120">
    <cfRule type="expression" dxfId="167" priority="168">
      <formula>AND($A120&lt;&gt;"",$A121&lt;&gt;"")</formula>
    </cfRule>
  </conditionalFormatting>
  <conditionalFormatting sqref="I172:J172">
    <cfRule type="expression" dxfId="166" priority="171">
      <formula>AND($A172&lt;&gt;"",$A173&lt;&gt;"")</formula>
    </cfRule>
  </conditionalFormatting>
  <conditionalFormatting sqref="I304:J304">
    <cfRule type="expression" dxfId="165" priority="172">
      <formula>ROW()=CELL("ligne")</formula>
    </cfRule>
  </conditionalFormatting>
  <conditionalFormatting sqref="J47">
    <cfRule type="expression" dxfId="164" priority="165">
      <formula>AND($A47&lt;&gt;"",$A48&lt;&gt;"")</formula>
    </cfRule>
  </conditionalFormatting>
  <conditionalFormatting sqref="J128">
    <cfRule type="expression" dxfId="163" priority="169">
      <formula>AND($A128&lt;&gt;"",$A129&lt;&gt;"")</formula>
    </cfRule>
  </conditionalFormatting>
  <conditionalFormatting sqref="K85">
    <cfRule type="expression" dxfId="162" priority="181">
      <formula>AND($A85&lt;&gt;"",$A86&lt;&gt;"")</formula>
    </cfRule>
  </conditionalFormatting>
  <conditionalFormatting sqref="K227">
    <cfRule type="expression" dxfId="161" priority="182">
      <formula>AND($A227&lt;&gt;"",$A228&lt;&gt;"")</formula>
    </cfRule>
  </conditionalFormatting>
  <conditionalFormatting sqref="K229:M229">
    <cfRule type="expression" dxfId="160" priority="120">
      <formula>AND($A229&lt;&gt;"",$A230&lt;&gt;"")</formula>
    </cfRule>
  </conditionalFormatting>
  <conditionalFormatting sqref="L13">
    <cfRule type="expression" dxfId="159" priority="162">
      <formula>AND($A13&lt;&gt;"",$A14&lt;&gt;"")</formula>
    </cfRule>
  </conditionalFormatting>
  <conditionalFormatting sqref="L38">
    <cfRule type="expression" dxfId="158" priority="159">
      <formula>AND($A38&lt;&gt;"",$A39&lt;&gt;"")</formula>
    </cfRule>
  </conditionalFormatting>
  <conditionalFormatting sqref="L73">
    <cfRule type="expression" dxfId="157" priority="153">
      <formula>AND($A73&lt;&gt;"",$A74&lt;&gt;"")</formula>
    </cfRule>
  </conditionalFormatting>
  <conditionalFormatting sqref="L80">
    <cfRule type="expression" dxfId="156" priority="150">
      <formula>AND($A80&lt;&gt;"",$A81&lt;&gt;"")</formula>
    </cfRule>
  </conditionalFormatting>
  <conditionalFormatting sqref="L92">
    <cfRule type="expression" dxfId="155" priority="147">
      <formula>AND($A92&lt;&gt;"",$A93&lt;&gt;"")</formula>
    </cfRule>
  </conditionalFormatting>
  <conditionalFormatting sqref="L114">
    <cfRule type="expression" dxfId="154" priority="144">
      <formula>AND($A114&lt;&gt;"",$A115&lt;&gt;"")</formula>
    </cfRule>
  </conditionalFormatting>
  <conditionalFormatting sqref="L128">
    <cfRule type="expression" dxfId="153" priority="140">
      <formula>AND($A128&lt;&gt;"",$A129&lt;&gt;"")</formula>
    </cfRule>
  </conditionalFormatting>
  <conditionalFormatting sqref="L132">
    <cfRule type="expression" dxfId="152" priority="139">
      <formula>AND($A132&lt;&gt;"",$A133&lt;&gt;"")</formula>
    </cfRule>
  </conditionalFormatting>
  <conditionalFormatting sqref="L165">
    <cfRule type="expression" dxfId="151" priority="133">
      <formula>AND($A165&lt;&gt;"",$A166&lt;&gt;"")</formula>
    </cfRule>
  </conditionalFormatting>
  <conditionalFormatting sqref="L172">
    <cfRule type="expression" dxfId="150" priority="132">
      <formula>AND($A172&lt;&gt;"",$A173&lt;&gt;"")</formula>
    </cfRule>
  </conditionalFormatting>
  <conditionalFormatting sqref="L174">
    <cfRule type="expression" dxfId="149" priority="130">
      <formula>AND($A174&lt;&gt;"",$A175&lt;&gt;"")</formula>
    </cfRule>
  </conditionalFormatting>
  <conditionalFormatting sqref="L180:L181">
    <cfRule type="expression" dxfId="148" priority="128">
      <formula>AND($A180&lt;&gt;"",$A181&lt;&gt;"")</formula>
    </cfRule>
  </conditionalFormatting>
  <conditionalFormatting sqref="L281">
    <cfRule type="expression" dxfId="147" priority="116">
      <formula>AND($A281&lt;&gt;"",$A282&lt;&gt;"")</formula>
    </cfRule>
  </conditionalFormatting>
  <conditionalFormatting sqref="L297">
    <cfRule type="expression" dxfId="146" priority="114">
      <formula>ROW()=CELL("ligne")</formula>
    </cfRule>
  </conditionalFormatting>
  <conditionalFormatting sqref="L301">
    <cfRule type="expression" dxfId="145" priority="112">
      <formula>ROW()=CELL("ligne")</formula>
    </cfRule>
  </conditionalFormatting>
  <conditionalFormatting sqref="L29:M30">
    <cfRule type="expression" dxfId="144" priority="161">
      <formula>AND($A29&lt;&gt;"",$A30&lt;&gt;"")</formula>
    </cfRule>
  </conditionalFormatting>
  <conditionalFormatting sqref="L46:M47">
    <cfRule type="expression" dxfId="143" priority="158">
      <formula>AND($A46&lt;&gt;"",$A47&lt;&gt;"")</formula>
    </cfRule>
  </conditionalFormatting>
  <conditionalFormatting sqref="L67:M67">
    <cfRule type="expression" dxfId="142" priority="156">
      <formula>AND($A67&lt;&gt;"",$A68&lt;&gt;"")</formula>
    </cfRule>
  </conditionalFormatting>
  <conditionalFormatting sqref="L84:M85">
    <cfRule type="expression" dxfId="141" priority="148">
      <formula>AND($A84&lt;&gt;"",$A85&lt;&gt;"")</formula>
    </cfRule>
  </conditionalFormatting>
  <conditionalFormatting sqref="L126:M126">
    <cfRule type="expression" dxfId="140" priority="141">
      <formula>AND($A126&lt;&gt;"",$A127&lt;&gt;"")</formula>
    </cfRule>
  </conditionalFormatting>
  <conditionalFormatting sqref="L244:M244">
    <cfRule type="expression" dxfId="139" priority="118">
      <formula>AND($A244&lt;&gt;"",$A245&lt;&gt;"")</formula>
    </cfRule>
  </conditionalFormatting>
  <conditionalFormatting sqref="L304:M305">
    <cfRule type="expression" dxfId="138" priority="111">
      <formula>ROW()=CELL("ligne")</formula>
    </cfRule>
  </conditionalFormatting>
  <conditionalFormatting sqref="L41:N41">
    <cfRule type="expression" dxfId="137" priority="90">
      <formula>AND($A41&lt;&gt;"",$A42&lt;&gt;"")</formula>
    </cfRule>
  </conditionalFormatting>
  <conditionalFormatting sqref="M32:M33">
    <cfRule type="expression" dxfId="136" priority="160">
      <formula>AND($A32&lt;&gt;"",$A33&lt;&gt;"")</formula>
    </cfRule>
  </conditionalFormatting>
  <conditionalFormatting sqref="M51">
    <cfRule type="expression" dxfId="135" priority="157">
      <formula>AND($A51&lt;&gt;"",$A52&lt;&gt;"")</formula>
    </cfRule>
  </conditionalFormatting>
  <conditionalFormatting sqref="M69:M70">
    <cfRule type="expression" dxfId="134" priority="155">
      <formula>AND($A69&lt;&gt;"",$A70&lt;&gt;"")</formula>
    </cfRule>
  </conditionalFormatting>
  <conditionalFormatting sqref="M72:M73">
    <cfRule type="expression" dxfId="133" priority="154">
      <formula>AND($A72&lt;&gt;"",$A73&lt;&gt;"")</formula>
    </cfRule>
  </conditionalFormatting>
  <conditionalFormatting sqref="M75">
    <cfRule type="expression" dxfId="132" priority="152">
      <formula>AND($A75&lt;&gt;"",$A76&lt;&gt;"")</formula>
    </cfRule>
  </conditionalFormatting>
  <conditionalFormatting sqref="M79:M80">
    <cfRule type="expression" dxfId="131" priority="151">
      <formula>AND($A79&lt;&gt;"",$A80&lt;&gt;"")</formula>
    </cfRule>
  </conditionalFormatting>
  <conditionalFormatting sqref="M82">
    <cfRule type="expression" dxfId="130" priority="149">
      <formula>AND($A82&lt;&gt;"",$A83&lt;&gt;"")</formula>
    </cfRule>
  </conditionalFormatting>
  <conditionalFormatting sqref="M95">
    <cfRule type="expression" dxfId="129" priority="146">
      <formula>AND($A95&lt;&gt;"",$A96&lt;&gt;"")</formula>
    </cfRule>
  </conditionalFormatting>
  <conditionalFormatting sqref="M115">
    <cfRule type="expression" dxfId="128" priority="143">
      <formula>AND($A115&lt;&gt;"",$A116&lt;&gt;"")</formula>
    </cfRule>
  </conditionalFormatting>
  <conditionalFormatting sqref="M120">
    <cfRule type="expression" dxfId="127" priority="142">
      <formula>AND($A120&lt;&gt;"",$A121&lt;&gt;"")</formula>
    </cfRule>
  </conditionalFormatting>
  <conditionalFormatting sqref="M132:M133">
    <cfRule type="expression" dxfId="126" priority="138">
      <formula>AND($A132&lt;&gt;"",$A133&lt;&gt;"")</formula>
    </cfRule>
  </conditionalFormatting>
  <conditionalFormatting sqref="M149">
    <cfRule type="expression" dxfId="125" priority="137">
      <formula>AND($A149&lt;&gt;"",$A150&lt;&gt;"")</formula>
    </cfRule>
  </conditionalFormatting>
  <conditionalFormatting sqref="M151">
    <cfRule type="expression" dxfId="124" priority="136">
      <formula>AND($A151&lt;&gt;"",$A152&lt;&gt;"")</formula>
    </cfRule>
  </conditionalFormatting>
  <conditionalFormatting sqref="M161">
    <cfRule type="expression" dxfId="123" priority="135">
      <formula>AND($A161&lt;&gt;"",$A162&lt;&gt;"")</formula>
    </cfRule>
  </conditionalFormatting>
  <conditionalFormatting sqref="M164:M165">
    <cfRule type="expression" dxfId="122" priority="134">
      <formula>AND($A164&lt;&gt;"",$A165&lt;&gt;"")</formula>
    </cfRule>
  </conditionalFormatting>
  <conditionalFormatting sqref="M172:M173">
    <cfRule type="expression" dxfId="121" priority="131">
      <formula>AND($A172&lt;&gt;"",$A173&lt;&gt;"")</formula>
    </cfRule>
  </conditionalFormatting>
  <conditionalFormatting sqref="M175">
    <cfRule type="expression" dxfId="120" priority="129">
      <formula>AND($A175&lt;&gt;"",$A176&lt;&gt;"")</formula>
    </cfRule>
  </conditionalFormatting>
  <conditionalFormatting sqref="M178:M181">
    <cfRule type="expression" dxfId="119" priority="127">
      <formula>AND($A178&lt;&gt;"",$A179&lt;&gt;"")</formula>
    </cfRule>
  </conditionalFormatting>
  <conditionalFormatting sqref="M184">
    <cfRule type="expression" dxfId="118" priority="126">
      <formula>AND($A184&lt;&gt;"",$A185&lt;&gt;"")</formula>
    </cfRule>
  </conditionalFormatting>
  <conditionalFormatting sqref="M188:M189">
    <cfRule type="expression" dxfId="117" priority="125">
      <formula>AND($A188&lt;&gt;"",$A189&lt;&gt;"")</formula>
    </cfRule>
  </conditionalFormatting>
  <conditionalFormatting sqref="M216">
    <cfRule type="expression" dxfId="116" priority="124">
      <formula>AND($A216&lt;&gt;"",$A217&lt;&gt;"")</formula>
    </cfRule>
  </conditionalFormatting>
  <conditionalFormatting sqref="M219">
    <cfRule type="expression" dxfId="115" priority="123">
      <formula>AND($A219&lt;&gt;"",$A220&lt;&gt;"")</formula>
    </cfRule>
  </conditionalFormatting>
  <conditionalFormatting sqref="M221">
    <cfRule type="expression" dxfId="114" priority="122">
      <formula>AND($A221&lt;&gt;"",$A222&lt;&gt;"")</formula>
    </cfRule>
  </conditionalFormatting>
  <conditionalFormatting sqref="M227">
    <cfRule type="expression" dxfId="113" priority="121">
      <formula>AND($A227&lt;&gt;"",$A228&lt;&gt;"")</formula>
    </cfRule>
  </conditionalFormatting>
  <conditionalFormatting sqref="M231:M232">
    <cfRule type="expression" dxfId="112" priority="119">
      <formula>AND($A231&lt;&gt;"",$A232&lt;&gt;"")</formula>
    </cfRule>
  </conditionalFormatting>
  <conditionalFormatting sqref="M259:M260">
    <cfRule type="expression" dxfId="111" priority="117">
      <formula>AND($A259&lt;&gt;"",$A260&lt;&gt;"")</formula>
    </cfRule>
  </conditionalFormatting>
  <conditionalFormatting sqref="M282">
    <cfRule type="expression" dxfId="110" priority="115">
      <formula>AND($A282&lt;&gt;"",$A283&lt;&gt;"")</formula>
    </cfRule>
  </conditionalFormatting>
  <conditionalFormatting sqref="M297:M298">
    <cfRule type="expression" dxfId="109" priority="113">
      <formula>ROW()=CELL("ligne")</formula>
    </cfRule>
  </conditionalFormatting>
  <conditionalFormatting sqref="M169:N169">
    <cfRule type="expression" dxfId="108" priority="100">
      <formula>AND($A169&lt;&gt;"",$A170&lt;&gt;"")</formula>
    </cfRule>
  </conditionalFormatting>
  <conditionalFormatting sqref="M262:N262">
    <cfRule type="expression" dxfId="107" priority="108">
      <formula>AND($A262&lt;&gt;"",$A263&lt;&gt;"")</formula>
    </cfRule>
  </conditionalFormatting>
  <conditionalFormatting sqref="M293:N294">
    <cfRule type="expression" dxfId="106" priority="109">
      <formula>AND($A293&lt;&gt;"",$A294&lt;&gt;"")</formula>
    </cfRule>
  </conditionalFormatting>
  <conditionalFormatting sqref="N4:N5">
    <cfRule type="expression" dxfId="105" priority="88">
      <formula>AND($A4&lt;&gt;"",$A5&lt;&gt;"")</formula>
    </cfRule>
  </conditionalFormatting>
  <conditionalFormatting sqref="N11">
    <cfRule type="expression" dxfId="104" priority="89">
      <formula>AND($A11&lt;&gt;"",$A12&lt;&gt;"")</formula>
    </cfRule>
  </conditionalFormatting>
  <conditionalFormatting sqref="N47">
    <cfRule type="expression" dxfId="103" priority="91">
      <formula>AND($A47&lt;&gt;"",$A48&lt;&gt;"")</formula>
    </cfRule>
  </conditionalFormatting>
  <conditionalFormatting sqref="N71">
    <cfRule type="expression" dxfId="102" priority="92">
      <formula>AND($A71&lt;&gt;"",$A72&lt;&gt;"")</formula>
    </cfRule>
  </conditionalFormatting>
  <conditionalFormatting sqref="N80:N81">
    <cfRule type="expression" dxfId="101" priority="93">
      <formula>AND($A80&lt;&gt;"",$A81&lt;&gt;"")</formula>
    </cfRule>
  </conditionalFormatting>
  <conditionalFormatting sqref="N85">
    <cfRule type="expression" dxfId="100" priority="94">
      <formula>AND($A85&lt;&gt;"",$A86&lt;&gt;"")</formula>
    </cfRule>
  </conditionalFormatting>
  <conditionalFormatting sqref="N92:N93">
    <cfRule type="expression" dxfId="99" priority="95">
      <formula>AND($A92&lt;&gt;"",$A93&lt;&gt;"")</formula>
    </cfRule>
  </conditionalFormatting>
  <conditionalFormatting sqref="N114">
    <cfRule type="expression" dxfId="98" priority="96">
      <formula>AND($A114&lt;&gt;"",$A115&lt;&gt;"")</formula>
    </cfRule>
  </conditionalFormatting>
  <conditionalFormatting sqref="N125">
    <cfRule type="expression" dxfId="97" priority="97">
      <formula>AND($A125&lt;&gt;"",$A126&lt;&gt;"")</formula>
    </cfRule>
  </conditionalFormatting>
  <conditionalFormatting sqref="N131">
    <cfRule type="expression" dxfId="96" priority="98">
      <formula>AND($A131&lt;&gt;"",$A132&lt;&gt;"")</formula>
    </cfRule>
  </conditionalFormatting>
  <conditionalFormatting sqref="N150">
    <cfRule type="expression" dxfId="95" priority="99">
      <formula>AND($A150&lt;&gt;"",$A151&lt;&gt;"")</formula>
    </cfRule>
  </conditionalFormatting>
  <conditionalFormatting sqref="N181">
    <cfRule type="expression" dxfId="94" priority="101">
      <formula>AND($A181&lt;&gt;"",$A182&lt;&gt;"")</formula>
    </cfRule>
  </conditionalFormatting>
  <conditionalFormatting sqref="N185">
    <cfRule type="expression" dxfId="93" priority="102">
      <formula>AND($A185&lt;&gt;"",$A186&lt;&gt;"")</formula>
    </cfRule>
  </conditionalFormatting>
  <conditionalFormatting sqref="N189">
    <cfRule type="expression" dxfId="92" priority="103">
      <formula>AND($A189&lt;&gt;"",$A190&lt;&gt;"")</formula>
    </cfRule>
  </conditionalFormatting>
  <conditionalFormatting sqref="N213:N214">
    <cfRule type="expression" dxfId="91" priority="104">
      <formula>AND($A213&lt;&gt;"",$A214&lt;&gt;"")</formula>
    </cfRule>
  </conditionalFormatting>
  <conditionalFormatting sqref="N218">
    <cfRule type="expression" dxfId="90" priority="105">
      <formula>AND($A218&lt;&gt;"",$A219&lt;&gt;"")</formula>
    </cfRule>
  </conditionalFormatting>
  <conditionalFormatting sqref="N228">
    <cfRule type="expression" dxfId="89" priority="106">
      <formula>AND($A228&lt;&gt;"",$A229&lt;&gt;"")</formula>
    </cfRule>
  </conditionalFormatting>
  <conditionalFormatting sqref="N260">
    <cfRule type="expression" dxfId="88" priority="107">
      <formula>AND($A260&lt;&gt;"",$A261&lt;&gt;"")</formula>
    </cfRule>
  </conditionalFormatting>
  <conditionalFormatting sqref="N297:N299">
    <cfRule type="expression" dxfId="87" priority="110">
      <formula>ROW()=CELL("ligne")</formula>
    </cfRule>
  </conditionalFormatting>
  <conditionalFormatting sqref="P6:P305">
    <cfRule type="expression" dxfId="86" priority="180">
      <formula>AND($A6&lt;&gt;"",$A7&lt;&gt;"")</formula>
    </cfRule>
  </conditionalFormatting>
  <conditionalFormatting sqref="R10:R11">
    <cfRule type="expression" dxfId="85" priority="86">
      <formula>AND($A10&lt;&gt;"",$A11&lt;&gt;"")</formula>
    </cfRule>
  </conditionalFormatting>
  <conditionalFormatting sqref="R32:R33">
    <cfRule type="expression" dxfId="84" priority="85">
      <formula>AND($A32&lt;&gt;"",$A33&lt;&gt;"")</formula>
    </cfRule>
  </conditionalFormatting>
  <conditionalFormatting sqref="R41:R42">
    <cfRule type="expression" dxfId="83" priority="84">
      <formula>AND($A41&lt;&gt;"",$A42&lt;&gt;"")</formula>
    </cfRule>
  </conditionalFormatting>
  <conditionalFormatting sqref="R46">
    <cfRule type="expression" dxfId="82" priority="83">
      <formula>AND($A46&lt;&gt;"",$A47&lt;&gt;"")</formula>
    </cfRule>
  </conditionalFormatting>
  <conditionalFormatting sqref="R51">
    <cfRule type="expression" dxfId="81" priority="82">
      <formula>AND($A51&lt;&gt;"",$A52&lt;&gt;"")</formula>
    </cfRule>
  </conditionalFormatting>
  <conditionalFormatting sqref="R68:R72">
    <cfRule type="expression" dxfId="80" priority="81">
      <formula>AND($A68&lt;&gt;"",$A69&lt;&gt;"")</formula>
    </cfRule>
  </conditionalFormatting>
  <conditionalFormatting sqref="R80:R82">
    <cfRule type="expression" dxfId="79" priority="80">
      <formula>AND($A80&lt;&gt;"",$A81&lt;&gt;"")</formula>
    </cfRule>
  </conditionalFormatting>
  <conditionalFormatting sqref="R85">
    <cfRule type="expression" dxfId="78" priority="79">
      <formula>AND($A85&lt;&gt;"",$A86&lt;&gt;"")</formula>
    </cfRule>
  </conditionalFormatting>
  <conditionalFormatting sqref="R94:R95">
    <cfRule type="expression" dxfId="77" priority="78">
      <formula>AND($A94&lt;&gt;"",$A95&lt;&gt;"")</formula>
    </cfRule>
  </conditionalFormatting>
  <conditionalFormatting sqref="R119:R120">
    <cfRule type="expression" dxfId="76" priority="77">
      <formula>AND($A119&lt;&gt;"",$A120&lt;&gt;"")</formula>
    </cfRule>
  </conditionalFormatting>
  <conditionalFormatting sqref="R125:R126">
    <cfRule type="expression" dxfId="75" priority="76">
      <formula>AND($A125&lt;&gt;"",$A126&lt;&gt;"")</formula>
    </cfRule>
  </conditionalFormatting>
  <conditionalFormatting sqref="R132">
    <cfRule type="expression" dxfId="74" priority="75">
      <formula>AND($A132&lt;&gt;"",$A133&lt;&gt;"")</formula>
    </cfRule>
  </conditionalFormatting>
  <conditionalFormatting sqref="R134">
    <cfRule type="expression" dxfId="73" priority="74">
      <formula>AND($A134&lt;&gt;"",$A135&lt;&gt;"")</formula>
    </cfRule>
  </conditionalFormatting>
  <conditionalFormatting sqref="R150">
    <cfRule type="expression" dxfId="72" priority="73">
      <formula>AND($A150&lt;&gt;"",$A151&lt;&gt;"")</formula>
    </cfRule>
  </conditionalFormatting>
  <conditionalFormatting sqref="R162">
    <cfRule type="expression" dxfId="71" priority="72">
      <formula>AND($A162&lt;&gt;"",$A163&lt;&gt;"")</formula>
    </cfRule>
  </conditionalFormatting>
  <conditionalFormatting sqref="R164:R165">
    <cfRule type="expression" dxfId="70" priority="71">
      <formula>AND($A164&lt;&gt;"",$A165&lt;&gt;"")</formula>
    </cfRule>
  </conditionalFormatting>
  <conditionalFormatting sqref="R169">
    <cfRule type="expression" dxfId="69" priority="70">
      <formula>AND($A169&lt;&gt;"",$A170&lt;&gt;"")</formula>
    </cfRule>
  </conditionalFormatting>
  <conditionalFormatting sqref="R172:R173">
    <cfRule type="expression" dxfId="68" priority="69">
      <formula>AND($A172&lt;&gt;"",$A173&lt;&gt;"")</formula>
    </cfRule>
  </conditionalFormatting>
  <conditionalFormatting sqref="R175">
    <cfRule type="expression" dxfId="67" priority="68">
      <formula>AND($A175&lt;&gt;"",$A179&lt;&gt;"")</formula>
    </cfRule>
    <cfRule type="expression" dxfId="66" priority="67">
      <formula>AND($A175&lt;&gt;"",$A176&lt;&gt;"")</formula>
    </cfRule>
  </conditionalFormatting>
  <conditionalFormatting sqref="R177:R179">
    <cfRule type="expression" dxfId="65" priority="65">
      <formula>AND($A177&lt;&gt;"",$A178&lt;&gt;"")</formula>
    </cfRule>
    <cfRule type="expression" dxfId="64" priority="66">
      <formula>AND($A177&lt;&gt;"",$A181&lt;&gt;"")</formula>
    </cfRule>
  </conditionalFormatting>
  <conditionalFormatting sqref="R182:R184">
    <cfRule type="expression" dxfId="63" priority="64">
      <formula>AND($A182&lt;&gt;"",$A186&lt;&gt;"")</formula>
    </cfRule>
    <cfRule type="expression" dxfId="62" priority="63">
      <formula>AND($A182&lt;&gt;"",$A183&lt;&gt;"")</formula>
    </cfRule>
  </conditionalFormatting>
  <conditionalFormatting sqref="R186:R187">
    <cfRule type="expression" dxfId="61" priority="62">
      <formula>AND($A186&lt;&gt;"",$A190&lt;&gt;"")</formula>
    </cfRule>
    <cfRule type="expression" dxfId="60" priority="61">
      <formula>AND($A186&lt;&gt;"",$A187&lt;&gt;"")</formula>
    </cfRule>
  </conditionalFormatting>
  <conditionalFormatting sqref="R189:R191">
    <cfRule type="expression" dxfId="59" priority="60">
      <formula>AND($A189&lt;&gt;"",$A193&lt;&gt;"")</formula>
    </cfRule>
    <cfRule type="expression" dxfId="58" priority="59">
      <formula>AND($A189&lt;&gt;"",$A190&lt;&gt;"")</formula>
    </cfRule>
  </conditionalFormatting>
  <conditionalFormatting sqref="R194:R197">
    <cfRule type="expression" dxfId="57" priority="58">
      <formula>AND($A194&lt;&gt;"",$A198&lt;&gt;"")</formula>
    </cfRule>
    <cfRule type="expression" dxfId="56" priority="57">
      <formula>AND($A194&lt;&gt;"",$A195&lt;&gt;"")</formula>
    </cfRule>
  </conditionalFormatting>
  <conditionalFormatting sqref="R201:R206">
    <cfRule type="expression" dxfId="55" priority="56">
      <formula>AND($A201&lt;&gt;"",$A205&lt;&gt;"")</formula>
    </cfRule>
    <cfRule type="expression" dxfId="54" priority="55">
      <formula>AND($A201&lt;&gt;"",$A202&lt;&gt;"")</formula>
    </cfRule>
  </conditionalFormatting>
  <conditionalFormatting sqref="R209:R211">
    <cfRule type="expression" dxfId="53" priority="53">
      <formula>AND($A209&lt;&gt;"",$A210&lt;&gt;"")</formula>
    </cfRule>
    <cfRule type="expression" dxfId="52" priority="54">
      <formula>AND($A209&lt;&gt;"",$A213&lt;&gt;"")</formula>
    </cfRule>
  </conditionalFormatting>
  <conditionalFormatting sqref="R217">
    <cfRule type="expression" dxfId="51" priority="52">
      <formula>AND($A217&lt;&gt;"",$A221&lt;&gt;"")</formula>
    </cfRule>
    <cfRule type="expression" dxfId="50" priority="51">
      <formula>AND($A217&lt;&gt;"",$A218&lt;&gt;"")</formula>
    </cfRule>
  </conditionalFormatting>
  <conditionalFormatting sqref="R221:R222">
    <cfRule type="expression" dxfId="49" priority="49">
      <formula>AND($A221&lt;&gt;"",$A222&lt;&gt;"")</formula>
    </cfRule>
    <cfRule type="expression" dxfId="48" priority="50">
      <formula>AND($A221&lt;&gt;"",$A225&lt;&gt;"")</formula>
    </cfRule>
  </conditionalFormatting>
  <conditionalFormatting sqref="R224:R225">
    <cfRule type="expression" dxfId="47" priority="48">
      <formula>AND($A224&lt;&gt;"",$A228&lt;&gt;"")</formula>
    </cfRule>
    <cfRule type="expression" dxfId="46" priority="47">
      <formula>AND($A224&lt;&gt;"",$A225&lt;&gt;"")</formula>
    </cfRule>
  </conditionalFormatting>
  <conditionalFormatting sqref="R227:R228">
    <cfRule type="expression" dxfId="45" priority="45">
      <formula>AND($A227&lt;&gt;"",$A228&lt;&gt;"")</formula>
    </cfRule>
  </conditionalFormatting>
  <conditionalFormatting sqref="R228">
    <cfRule type="expression" dxfId="44" priority="46">
      <formula>AND($A228&lt;&gt;"",$A232&lt;&gt;"")</formula>
    </cfRule>
  </conditionalFormatting>
  <conditionalFormatting sqref="R231">
    <cfRule type="expression" dxfId="43" priority="44">
      <formula>AND($A231&lt;&gt;"",$A235&lt;&gt;"")</formula>
    </cfRule>
    <cfRule type="expression" dxfId="42" priority="43">
      <formula>AND($A231&lt;&gt;"",$A232&lt;&gt;"")</formula>
    </cfRule>
  </conditionalFormatting>
  <conditionalFormatting sqref="R233">
    <cfRule type="expression" dxfId="41" priority="42">
      <formula>AND($A233&lt;&gt;"",$A237&lt;&gt;"")</formula>
    </cfRule>
    <cfRule type="expression" dxfId="40" priority="41">
      <formula>AND($A233&lt;&gt;"",$A234&lt;&gt;"")</formula>
    </cfRule>
  </conditionalFormatting>
  <conditionalFormatting sqref="R235:R236">
    <cfRule type="expression" dxfId="39" priority="40">
      <formula>AND($A235&lt;&gt;"",$A239&lt;&gt;"")</formula>
    </cfRule>
    <cfRule type="expression" dxfId="38" priority="39">
      <formula>AND($A235&lt;&gt;"",$A236&lt;&gt;"")</formula>
    </cfRule>
  </conditionalFormatting>
  <conditionalFormatting sqref="R243:R244">
    <cfRule type="expression" dxfId="37" priority="38">
      <formula>AND($A243&lt;&gt;"",$A247&lt;&gt;"")</formula>
    </cfRule>
    <cfRule type="expression" dxfId="36" priority="37">
      <formula>AND($A243&lt;&gt;"",$A244&lt;&gt;"")</formula>
    </cfRule>
  </conditionalFormatting>
  <conditionalFormatting sqref="R247:R251">
    <cfRule type="expression" dxfId="35" priority="35">
      <formula>AND($A247&lt;&gt;"",$A248&lt;&gt;"")</formula>
    </cfRule>
    <cfRule type="expression" dxfId="34" priority="36">
      <formula>AND($A247&lt;&gt;"",$A251&lt;&gt;"")</formula>
    </cfRule>
  </conditionalFormatting>
  <conditionalFormatting sqref="R253">
    <cfRule type="expression" dxfId="33" priority="33">
      <formula>AND($A253&lt;&gt;"",$A254&lt;&gt;"")</formula>
    </cfRule>
    <cfRule type="expression" dxfId="32" priority="34">
      <formula>AND($A253&lt;&gt;"",$A257&lt;&gt;"")</formula>
    </cfRule>
  </conditionalFormatting>
  <conditionalFormatting sqref="R255:R256">
    <cfRule type="expression" dxfId="31" priority="31">
      <formula>AND($A255&lt;&gt;"",$A256&lt;&gt;"")</formula>
    </cfRule>
    <cfRule type="expression" dxfId="30" priority="32">
      <formula>AND($A255&lt;&gt;"",$A259&lt;&gt;"")</formula>
    </cfRule>
  </conditionalFormatting>
  <conditionalFormatting sqref="R258">
    <cfRule type="expression" dxfId="29" priority="30">
      <formula>AND($A258&lt;&gt;"",$A262&lt;&gt;"")</formula>
    </cfRule>
    <cfRule type="expression" dxfId="28" priority="29">
      <formula>AND($A258&lt;&gt;"",$A259&lt;&gt;"")</formula>
    </cfRule>
  </conditionalFormatting>
  <conditionalFormatting sqref="R260">
    <cfRule type="expression" dxfId="27" priority="28">
      <formula>AND($A260&lt;&gt;"",$A264&lt;&gt;"")</formula>
    </cfRule>
    <cfRule type="expression" dxfId="26" priority="27">
      <formula>AND($A260&lt;&gt;"",$A261&lt;&gt;"")</formula>
    </cfRule>
  </conditionalFormatting>
  <conditionalFormatting sqref="R263">
    <cfRule type="expression" dxfId="25" priority="25">
      <formula>AND($A263&lt;&gt;"",$A264&lt;&gt;"")</formula>
    </cfRule>
    <cfRule type="expression" dxfId="24" priority="26">
      <formula>AND($A263&lt;&gt;"",$A267&lt;&gt;"")</formula>
    </cfRule>
  </conditionalFormatting>
  <conditionalFormatting sqref="R265:R267">
    <cfRule type="expression" dxfId="23" priority="24">
      <formula>AND($A265&lt;&gt;"",$A269&lt;&gt;"")</formula>
    </cfRule>
    <cfRule type="expression" dxfId="22" priority="23">
      <formula>AND($A265&lt;&gt;"",$A266&lt;&gt;"")</formula>
    </cfRule>
  </conditionalFormatting>
  <conditionalFormatting sqref="R269:R270">
    <cfRule type="expression" dxfId="21" priority="22">
      <formula>AND($A269&lt;&gt;"",$A273&lt;&gt;"")</formula>
    </cfRule>
    <cfRule type="expression" dxfId="20" priority="21">
      <formula>AND($A269&lt;&gt;"",$A270&lt;&gt;"")</formula>
    </cfRule>
  </conditionalFormatting>
  <conditionalFormatting sqref="R275">
    <cfRule type="expression" dxfId="19" priority="20">
      <formula>AND($A275&lt;&gt;"",$A279&lt;&gt;"")</formula>
    </cfRule>
    <cfRule type="expression" dxfId="18" priority="19">
      <formula>AND($A275&lt;&gt;"",$A276&lt;&gt;"")</formula>
    </cfRule>
  </conditionalFormatting>
  <conditionalFormatting sqref="R278:R279">
    <cfRule type="expression" dxfId="17" priority="17">
      <formula>AND($A278&lt;&gt;"",$A279&lt;&gt;"")</formula>
    </cfRule>
    <cfRule type="expression" dxfId="16" priority="18">
      <formula>AND($A278&lt;&gt;"",$A282&lt;&gt;"")</formula>
    </cfRule>
  </conditionalFormatting>
  <conditionalFormatting sqref="R283">
    <cfRule type="expression" dxfId="15" priority="16">
      <formula>AND($A283&lt;&gt;"",$A287&lt;&gt;"")</formula>
    </cfRule>
    <cfRule type="expression" dxfId="14" priority="15">
      <formula>AND($A283&lt;&gt;"",$A284&lt;&gt;"")</formula>
    </cfRule>
  </conditionalFormatting>
  <conditionalFormatting sqref="R285:R288">
    <cfRule type="expression" dxfId="13" priority="14">
      <formula>AND($A285&lt;&gt;"",$A289&lt;&gt;"")</formula>
    </cfRule>
    <cfRule type="expression" dxfId="12" priority="13">
      <formula>AND($A285&lt;&gt;"",$A286&lt;&gt;"")</formula>
    </cfRule>
  </conditionalFormatting>
  <conditionalFormatting sqref="R291">
    <cfRule type="expression" dxfId="11" priority="12">
      <formula>AND($A291&lt;&gt;"",$A295&lt;&gt;"")</formula>
    </cfRule>
    <cfRule type="expression" dxfId="10" priority="11">
      <formula>AND($A291&lt;&gt;"",$A292&lt;&gt;"")</formula>
    </cfRule>
  </conditionalFormatting>
  <conditionalFormatting sqref="R293">
    <cfRule type="expression" dxfId="9" priority="9">
      <formula>AND($A293&lt;&gt;"",$A294&lt;&gt;"")</formula>
    </cfRule>
    <cfRule type="expression" dxfId="8" priority="10">
      <formula>AND($A293&lt;&gt;"",$A297&lt;&gt;"")</formula>
    </cfRule>
  </conditionalFormatting>
  <conditionalFormatting sqref="R295">
    <cfRule type="expression" dxfId="7" priority="8">
      <formula>AND($A295&lt;&gt;"",$A299&lt;&gt;"")</formula>
    </cfRule>
    <cfRule type="expression" dxfId="6" priority="7">
      <formula>AND($A295&lt;&gt;"",$A296&lt;&gt;"")</formula>
    </cfRule>
  </conditionalFormatting>
  <conditionalFormatting sqref="R298">
    <cfRule type="expression" dxfId="5" priority="5">
      <formula>AND($A298&lt;&gt;"",$A302&lt;&gt;"")</formula>
    </cfRule>
    <cfRule type="expression" dxfId="4" priority="4">
      <formula>AND($A298&lt;&gt;"",$A299&lt;&gt;"")</formula>
    </cfRule>
    <cfRule type="expression" dxfId="3" priority="6">
      <formula>ROW()=CELL("ligne")</formula>
    </cfRule>
  </conditionalFormatting>
  <conditionalFormatting sqref="R303:R304">
    <cfRule type="expression" dxfId="2" priority="3">
      <formula>ROW()=CELL("ligne")</formula>
    </cfRule>
    <cfRule type="expression" dxfId="1" priority="1">
      <formula>AND($A303&lt;&gt;"",$A304&lt;&gt;"")</formula>
    </cfRule>
    <cfRule type="expression" dxfId="0" priority="2">
      <formula>AND($A303&lt;&gt;"",$A307&lt;&gt;"")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DENIS</dc:creator>
  <cp:lastModifiedBy>Théo DENIS</cp:lastModifiedBy>
  <dcterms:created xsi:type="dcterms:W3CDTF">2015-06-05T18:17:20Z</dcterms:created>
  <dcterms:modified xsi:type="dcterms:W3CDTF">2025-05-11T16:14:50Z</dcterms:modified>
</cp:coreProperties>
</file>