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fb9e7465e62aaff3/Documents/Perso/Livres/library/"/>
    </mc:Choice>
  </mc:AlternateContent>
  <xr:revisionPtr revIDLastSave="59" documentId="11_F25DC773A252ABDACC10484349596F0C5ADE58E8" xr6:coauthVersionLast="47" xr6:coauthVersionMax="47" xr10:uidLastSave="{393017AC-4A9C-4F57-BE7D-40AC9D7EF3E6}"/>
  <bookViews>
    <workbookView xWindow="-108" yWindow="-108" windowWidth="23256" windowHeight="12456" xr2:uid="{00000000-000D-0000-FFFF-FFFF00000000}"/>
  </bookViews>
  <sheets>
    <sheet name="library" sheetId="1" r:id="rId1"/>
  </sheets>
  <definedNames>
    <definedName name="_xlnm._FilterDatabase" localSheetId="0" hidden="1">library!$A$1:$S$306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0" i="1" l="1"/>
  <c r="F307" i="1"/>
  <c r="F198" i="1"/>
  <c r="F90" i="1"/>
  <c r="N385" i="1"/>
  <c r="M385" i="1"/>
  <c r="L385" i="1"/>
  <c r="I385" i="1"/>
  <c r="F385" i="1"/>
  <c r="S321" i="1"/>
  <c r="N321" i="1"/>
  <c r="M321" i="1"/>
  <c r="L321" i="1"/>
  <c r="I321" i="1"/>
  <c r="F321" i="1"/>
  <c r="M146" i="1"/>
  <c r="L146" i="1"/>
  <c r="I146" i="1"/>
  <c r="F146" i="1"/>
  <c r="S394" i="1"/>
  <c r="M394" i="1"/>
  <c r="L394" i="1"/>
  <c r="J394" i="1"/>
  <c r="I394" i="1"/>
  <c r="F394" i="1"/>
  <c r="M37" i="1"/>
  <c r="L37" i="1"/>
  <c r="J37" i="1"/>
  <c r="I37" i="1"/>
  <c r="F37" i="1"/>
  <c r="N29" i="1"/>
  <c r="M29" i="1"/>
  <c r="L29" i="1"/>
  <c r="I29" i="1"/>
  <c r="F29" i="1"/>
  <c r="S92" i="1"/>
  <c r="N92" i="1"/>
  <c r="M92" i="1"/>
  <c r="L92" i="1"/>
  <c r="I92" i="1"/>
  <c r="F92" i="1"/>
  <c r="S26" i="1"/>
  <c r="N26" i="1"/>
  <c r="M26" i="1"/>
  <c r="L26" i="1"/>
  <c r="I26" i="1"/>
  <c r="F26" i="1"/>
  <c r="N22" i="1"/>
  <c r="M22" i="1"/>
  <c r="L22" i="1"/>
  <c r="I22" i="1"/>
  <c r="F22" i="1"/>
  <c r="N86" i="1"/>
  <c r="M86" i="1"/>
  <c r="L86" i="1"/>
  <c r="J86" i="1"/>
  <c r="I86" i="1"/>
  <c r="F86" i="1"/>
  <c r="M96" i="1"/>
  <c r="L96" i="1"/>
  <c r="I96" i="1"/>
  <c r="F96" i="1"/>
  <c r="S336" i="1"/>
  <c r="N336" i="1"/>
  <c r="M336" i="1"/>
  <c r="L336" i="1"/>
  <c r="J336" i="1"/>
  <c r="I336" i="1"/>
  <c r="F336" i="1"/>
  <c r="L292" i="1"/>
  <c r="J292" i="1"/>
  <c r="I292" i="1"/>
  <c r="S276" i="1"/>
  <c r="N276" i="1"/>
  <c r="M276" i="1"/>
  <c r="L276" i="1"/>
  <c r="I276" i="1"/>
  <c r="F276" i="1"/>
  <c r="N200" i="1"/>
  <c r="M200" i="1"/>
  <c r="L200" i="1"/>
  <c r="I200" i="1"/>
  <c r="F200" i="1"/>
  <c r="S98" i="1"/>
  <c r="N98" i="1"/>
  <c r="M98" i="1"/>
  <c r="L98" i="1"/>
  <c r="I98" i="1"/>
  <c r="F98" i="1"/>
  <c r="S222" i="1"/>
  <c r="N222" i="1"/>
  <c r="M222" i="1"/>
  <c r="L222" i="1"/>
  <c r="I222" i="1"/>
  <c r="F222" i="1"/>
  <c r="S136" i="1"/>
  <c r="M136" i="1"/>
  <c r="J136" i="1"/>
  <c r="I136" i="1"/>
  <c r="F136" i="1"/>
  <c r="N384" i="1"/>
  <c r="L384" i="1"/>
  <c r="I384" i="1"/>
  <c r="F384" i="1"/>
  <c r="S17" i="1"/>
  <c r="N17" i="1"/>
  <c r="M17" i="1"/>
  <c r="L17" i="1"/>
  <c r="I17" i="1"/>
  <c r="F17" i="1"/>
  <c r="N130" i="1"/>
  <c r="L130" i="1"/>
  <c r="F130" i="1"/>
  <c r="M306" i="1"/>
  <c r="L306" i="1"/>
  <c r="I306" i="1"/>
  <c r="G306" i="1"/>
  <c r="F306" i="1"/>
  <c r="M171" i="1"/>
  <c r="L171" i="1"/>
  <c r="I171" i="1"/>
  <c r="F171" i="1"/>
  <c r="N137" i="1"/>
  <c r="M137" i="1"/>
  <c r="J137" i="1"/>
  <c r="I137" i="1"/>
  <c r="F137" i="1"/>
  <c r="L114" i="1"/>
  <c r="M32" i="1"/>
  <c r="L32" i="1"/>
  <c r="I32" i="1"/>
  <c r="G32" i="1"/>
  <c r="F32" i="1"/>
  <c r="F270" i="1"/>
  <c r="S178" i="1"/>
  <c r="N178" i="1"/>
  <c r="L178" i="1"/>
  <c r="J178" i="1"/>
  <c r="I178" i="1"/>
  <c r="F178" i="1"/>
  <c r="F4" i="1"/>
  <c r="M144" i="1"/>
  <c r="L144" i="1"/>
  <c r="F144" i="1"/>
  <c r="N57" i="1"/>
  <c r="M57" i="1"/>
  <c r="L57" i="1"/>
  <c r="J57" i="1"/>
  <c r="I57" i="1"/>
  <c r="F57" i="1"/>
  <c r="L192" i="1"/>
  <c r="M73" i="1"/>
  <c r="L73" i="1"/>
  <c r="J73" i="1"/>
  <c r="F73" i="1"/>
  <c r="M38" i="1"/>
  <c r="L38" i="1"/>
  <c r="J38" i="1"/>
  <c r="I38" i="1"/>
  <c r="F235" i="1"/>
  <c r="F370" i="1"/>
  <c r="F369" i="1"/>
  <c r="F106" i="1"/>
  <c r="L50" i="1"/>
  <c r="F50" i="1"/>
  <c r="F368" i="1"/>
  <c r="F366" i="1"/>
  <c r="F365" i="1"/>
  <c r="F364" i="1"/>
  <c r="F363" i="1"/>
  <c r="S59" i="1"/>
  <c r="M59" i="1"/>
  <c r="L59" i="1"/>
  <c r="J59" i="1"/>
  <c r="I59" i="1"/>
  <c r="G59" i="1"/>
  <c r="F59" i="1"/>
  <c r="L54" i="1"/>
  <c r="F362" i="1"/>
  <c r="S291" i="1"/>
  <c r="M291" i="1"/>
  <c r="L291" i="1"/>
  <c r="F291" i="1"/>
  <c r="L10" i="1"/>
  <c r="F10" i="1"/>
  <c r="F361" i="1"/>
  <c r="M11" i="1"/>
  <c r="L11" i="1"/>
  <c r="I11" i="1"/>
  <c r="F11" i="1"/>
  <c r="F360" i="1"/>
  <c r="M155" i="1"/>
  <c r="L155" i="1"/>
  <c r="F155" i="1"/>
  <c r="S87" i="1"/>
  <c r="L87" i="1"/>
  <c r="F87" i="1"/>
  <c r="F359" i="1"/>
  <c r="L145" i="1"/>
  <c r="J145" i="1"/>
  <c r="F145" i="1"/>
  <c r="F358" i="1"/>
  <c r="S280" i="1"/>
  <c r="N280" i="1"/>
  <c r="M280" i="1"/>
  <c r="L280" i="1"/>
  <c r="I280" i="1"/>
  <c r="F280" i="1"/>
  <c r="F357" i="1"/>
  <c r="F355" i="1"/>
  <c r="M271" i="1"/>
  <c r="L271" i="1"/>
  <c r="I271" i="1"/>
  <c r="G271" i="1"/>
  <c r="F271" i="1"/>
  <c r="F354" i="1"/>
  <c r="F353" i="1"/>
  <c r="S51" i="1"/>
  <c r="N51" i="1"/>
  <c r="M51" i="1"/>
  <c r="L51" i="1"/>
  <c r="I51" i="1"/>
  <c r="F51" i="1"/>
  <c r="F203" i="1"/>
  <c r="F352" i="1"/>
  <c r="F351" i="1"/>
  <c r="F350" i="1"/>
  <c r="F349" i="1"/>
  <c r="M138" i="1"/>
  <c r="F138" i="1"/>
  <c r="N8" i="1"/>
  <c r="L8" i="1"/>
  <c r="J8" i="1"/>
  <c r="F348" i="1"/>
  <c r="F347" i="1"/>
  <c r="F346" i="1"/>
  <c r="S217" i="1"/>
  <c r="L217" i="1"/>
  <c r="J217" i="1"/>
  <c r="F217" i="1"/>
  <c r="L16" i="1"/>
  <c r="J16" i="1"/>
  <c r="I16" i="1"/>
  <c r="G16" i="1"/>
  <c r="F376" i="1"/>
  <c r="F375" i="1"/>
  <c r="F374" i="1"/>
  <c r="F373" i="1"/>
  <c r="F372" i="1"/>
  <c r="F371" i="1"/>
  <c r="F367" i="1"/>
  <c r="F356" i="1"/>
  <c r="F345" i="1"/>
  <c r="L334" i="1"/>
  <c r="L133" i="1"/>
  <c r="F133" i="1"/>
  <c r="L262" i="1"/>
  <c r="F262" i="1"/>
  <c r="L33" i="1"/>
  <c r="F33" i="1"/>
  <c r="S56" i="1"/>
  <c r="M56" i="1"/>
  <c r="L56" i="1"/>
  <c r="I56" i="1"/>
  <c r="G56" i="1"/>
  <c r="F56" i="1"/>
  <c r="L333" i="1"/>
  <c r="F333" i="1"/>
  <c r="S330" i="1"/>
  <c r="L330" i="1"/>
  <c r="F330" i="1"/>
  <c r="L325" i="1"/>
  <c r="F325" i="1"/>
  <c r="S172" i="1"/>
  <c r="M172" i="1"/>
  <c r="L172" i="1"/>
  <c r="F172" i="1"/>
  <c r="M395" i="1"/>
  <c r="L395" i="1"/>
  <c r="F395" i="1"/>
  <c r="M75" i="1"/>
  <c r="F75" i="1"/>
  <c r="M323" i="1"/>
  <c r="L323" i="1"/>
  <c r="F323" i="1"/>
  <c r="M77" i="1"/>
  <c r="L77" i="1"/>
  <c r="J77" i="1"/>
  <c r="I77" i="1"/>
  <c r="F77" i="1"/>
  <c r="N105" i="1"/>
  <c r="L105" i="1"/>
  <c r="J105" i="1"/>
  <c r="I105" i="1"/>
  <c r="L2" i="1"/>
  <c r="F2" i="1"/>
  <c r="J177" i="1"/>
  <c r="F177" i="1"/>
  <c r="M83" i="1"/>
  <c r="L83" i="1"/>
  <c r="F83" i="1"/>
  <c r="S296" i="1"/>
  <c r="M296" i="1"/>
  <c r="L296" i="1"/>
  <c r="F296" i="1"/>
  <c r="M258" i="1"/>
  <c r="F258" i="1"/>
  <c r="S129" i="1"/>
  <c r="F129" i="1"/>
  <c r="S341" i="1"/>
  <c r="F341" i="1"/>
  <c r="J176" i="1"/>
  <c r="F176" i="1"/>
  <c r="S318" i="1"/>
  <c r="M318" i="1"/>
  <c r="L318" i="1"/>
  <c r="G318" i="1"/>
  <c r="F318" i="1"/>
  <c r="S183" i="1"/>
  <c r="M183" i="1"/>
  <c r="L183" i="1"/>
  <c r="G183" i="1"/>
  <c r="F183" i="1"/>
  <c r="M251" i="1"/>
  <c r="L251" i="1"/>
  <c r="F251" i="1"/>
  <c r="S68" i="1"/>
  <c r="M68" i="1"/>
  <c r="L68" i="1"/>
  <c r="G68" i="1"/>
  <c r="F68" i="1"/>
  <c r="F316" i="1"/>
  <c r="S249" i="1"/>
  <c r="M249" i="1"/>
  <c r="L249" i="1"/>
  <c r="F249" i="1"/>
  <c r="S143" i="1"/>
  <c r="M143" i="1"/>
  <c r="L143" i="1"/>
  <c r="F143" i="1"/>
  <c r="S134" i="1"/>
  <c r="M134" i="1"/>
  <c r="F134" i="1"/>
  <c r="S149" i="1"/>
  <c r="M149" i="1"/>
  <c r="L149" i="1"/>
  <c r="F149" i="1"/>
  <c r="M199" i="1"/>
  <c r="L199" i="1"/>
  <c r="F199" i="1"/>
  <c r="S180" i="1"/>
  <c r="F180" i="1"/>
  <c r="F186" i="1"/>
  <c r="M118" i="1"/>
  <c r="L118" i="1"/>
  <c r="F118" i="1"/>
  <c r="L389" i="1"/>
  <c r="G389" i="1"/>
  <c r="F389" i="1"/>
  <c r="L247" i="1"/>
  <c r="G247" i="1"/>
  <c r="F247" i="1"/>
  <c r="S71" i="1"/>
  <c r="N71" i="1"/>
  <c r="M71" i="1"/>
  <c r="F71" i="1"/>
  <c r="S135" i="1"/>
  <c r="F135" i="1"/>
  <c r="S7" i="1"/>
  <c r="N7" i="1"/>
  <c r="M7" i="1"/>
  <c r="I7" i="1"/>
  <c r="F7" i="1"/>
  <c r="S70" i="1"/>
  <c r="M70" i="1"/>
  <c r="F70" i="1"/>
  <c r="L48" i="1"/>
  <c r="F48" i="1"/>
  <c r="F154" i="1"/>
  <c r="S338" i="1"/>
  <c r="F338" i="1"/>
  <c r="M188" i="1"/>
  <c r="F188" i="1"/>
  <c r="S314" i="1"/>
  <c r="M314" i="1"/>
  <c r="G314" i="1"/>
  <c r="F314" i="1"/>
  <c r="S104" i="1"/>
  <c r="M104" i="1"/>
  <c r="G104" i="1"/>
  <c r="F104" i="1"/>
  <c r="S20" i="1"/>
  <c r="M20" i="1"/>
  <c r="G20" i="1"/>
  <c r="F20" i="1"/>
  <c r="M49" i="1"/>
  <c r="F49" i="1"/>
  <c r="S386" i="1"/>
  <c r="N386" i="1"/>
  <c r="M386" i="1"/>
  <c r="F386" i="1"/>
  <c r="N382" i="1"/>
  <c r="M382" i="1"/>
  <c r="F382" i="1"/>
  <c r="S380" i="1"/>
  <c r="N380" i="1"/>
  <c r="M380" i="1"/>
  <c r="F380" i="1"/>
  <c r="N320" i="1"/>
  <c r="M320" i="1"/>
  <c r="F320" i="1"/>
  <c r="S319" i="1"/>
  <c r="N319" i="1"/>
  <c r="M319" i="1"/>
  <c r="F319" i="1"/>
  <c r="S317" i="1"/>
  <c r="N317" i="1"/>
  <c r="M317" i="1"/>
  <c r="F317" i="1"/>
  <c r="N313" i="1"/>
  <c r="M313" i="1"/>
  <c r="F313" i="1"/>
  <c r="S311" i="1"/>
  <c r="N311" i="1"/>
  <c r="M311" i="1"/>
  <c r="F311" i="1"/>
  <c r="S228" i="1"/>
  <c r="N228" i="1"/>
  <c r="M228" i="1"/>
  <c r="F228" i="1"/>
  <c r="S221" i="1"/>
  <c r="N221" i="1"/>
  <c r="M221" i="1"/>
  <c r="F221" i="1"/>
  <c r="S187" i="1"/>
  <c r="N187" i="1"/>
  <c r="M187" i="1"/>
  <c r="F187" i="1"/>
  <c r="N112" i="1"/>
  <c r="M112" i="1"/>
  <c r="G112" i="1"/>
  <c r="F112" i="1"/>
  <c r="S55" i="1"/>
  <c r="N55" i="1"/>
  <c r="M55" i="1"/>
  <c r="F55" i="1"/>
  <c r="S119" i="1"/>
  <c r="M119" i="1"/>
  <c r="F119" i="1"/>
  <c r="S168" i="1"/>
  <c r="N168" i="1"/>
  <c r="G168" i="1"/>
  <c r="F168" i="1"/>
  <c r="S165" i="1"/>
  <c r="N165" i="1"/>
  <c r="G165" i="1"/>
  <c r="F165" i="1"/>
  <c r="S153" i="1"/>
  <c r="N153" i="1"/>
  <c r="F153" i="1"/>
  <c r="F173" i="1"/>
  <c r="S93" i="1"/>
  <c r="N93" i="1"/>
  <c r="F93" i="1"/>
  <c r="S308" i="1"/>
  <c r="M308" i="1"/>
  <c r="F308" i="1"/>
  <c r="M174" i="1"/>
  <c r="F174" i="1"/>
  <c r="S295" i="1"/>
  <c r="L295" i="1"/>
  <c r="F295" i="1"/>
  <c r="S263" i="1"/>
  <c r="M263" i="1"/>
  <c r="F263" i="1"/>
  <c r="N6" i="1"/>
  <c r="F6" i="1"/>
  <c r="S21" i="1"/>
  <c r="N21" i="1"/>
  <c r="M21" i="1"/>
  <c r="F21" i="1"/>
  <c r="S94" i="1"/>
  <c r="M94" i="1"/>
  <c r="F94" i="1"/>
  <c r="S383" i="1"/>
  <c r="M383" i="1"/>
  <c r="F383" i="1"/>
  <c r="F259" i="1"/>
  <c r="S18" i="1"/>
  <c r="M18" i="1"/>
  <c r="F18" i="1"/>
  <c r="S282" i="1"/>
  <c r="M282" i="1"/>
  <c r="F282" i="1"/>
  <c r="S226" i="1"/>
  <c r="F226" i="1"/>
  <c r="S24" i="1"/>
  <c r="M24" i="1"/>
  <c r="F24" i="1"/>
  <c r="S393" i="1"/>
  <c r="F393" i="1"/>
  <c r="S160" i="1"/>
  <c r="M160" i="1"/>
  <c r="F160" i="1"/>
  <c r="S12" i="1"/>
  <c r="F12" i="1"/>
  <c r="M335" i="1"/>
  <c r="F335" i="1"/>
  <c r="S128" i="1"/>
  <c r="M128" i="1"/>
  <c r="F128" i="1"/>
  <c r="S327" i="1"/>
  <c r="N327" i="1"/>
  <c r="M327" i="1"/>
  <c r="F327" i="1"/>
  <c r="S123" i="1"/>
  <c r="M123" i="1"/>
  <c r="F123" i="1"/>
  <c r="S195" i="1"/>
  <c r="M195" i="1"/>
  <c r="F195" i="1"/>
  <c r="F42" i="1"/>
  <c r="M194" i="1"/>
  <c r="F194" i="1"/>
  <c r="M131" i="1"/>
  <c r="F131" i="1"/>
  <c r="N124" i="1"/>
  <c r="M124" i="1"/>
  <c r="F124" i="1"/>
  <c r="S197" i="1"/>
  <c r="M197" i="1"/>
  <c r="F197" i="1"/>
  <c r="M255" i="1"/>
  <c r="F255" i="1"/>
  <c r="S72" i="1"/>
  <c r="M72" i="1"/>
  <c r="F72" i="1"/>
  <c r="M312" i="1"/>
  <c r="F312" i="1"/>
  <c r="F175" i="1"/>
  <c r="G116" i="1"/>
  <c r="G44" i="1"/>
  <c r="F44" i="1"/>
  <c r="F392" i="1"/>
  <c r="F35" i="1"/>
  <c r="S41" i="1"/>
  <c r="M41" i="1"/>
  <c r="F41" i="1"/>
  <c r="M231" i="1"/>
  <c r="F232" i="1"/>
  <c r="M224" i="1"/>
  <c r="F224" i="1"/>
  <c r="S267" i="1"/>
  <c r="M267" i="1"/>
  <c r="F267" i="1"/>
  <c r="M220" i="1"/>
  <c r="F220" i="1"/>
  <c r="S108" i="1"/>
  <c r="F108" i="1"/>
  <c r="S218" i="1"/>
  <c r="M218" i="1"/>
  <c r="F218" i="1"/>
  <c r="F337" i="1"/>
  <c r="F277" i="1"/>
  <c r="S62" i="1"/>
  <c r="M62" i="1"/>
  <c r="F62" i="1"/>
  <c r="F125" i="1"/>
  <c r="F310" i="1"/>
  <c r="F30" i="1"/>
  <c r="S245" i="1"/>
  <c r="M245" i="1"/>
  <c r="F245" i="1"/>
  <c r="M167" i="1"/>
  <c r="F167" i="1"/>
  <c r="S113" i="1"/>
  <c r="M113" i="1"/>
  <c r="F113" i="1"/>
  <c r="M309" i="1"/>
  <c r="G309" i="1"/>
  <c r="M329" i="1"/>
  <c r="F329" i="1"/>
  <c r="S297" i="1"/>
  <c r="M297" i="1"/>
  <c r="F297" i="1"/>
  <c r="S184" i="1"/>
  <c r="M184" i="1"/>
  <c r="F184" i="1"/>
  <c r="S264" i="1"/>
  <c r="M264" i="1"/>
  <c r="F264" i="1"/>
  <c r="S82" i="1"/>
  <c r="M82" i="1"/>
  <c r="F82" i="1"/>
  <c r="M36" i="1"/>
  <c r="F36" i="1"/>
  <c r="M169" i="1"/>
  <c r="G169" i="1"/>
  <c r="M283" i="1"/>
  <c r="F283" i="1"/>
  <c r="S139" i="1"/>
  <c r="M139" i="1"/>
  <c r="F139" i="1"/>
  <c r="N103" i="1"/>
  <c r="M103" i="1"/>
  <c r="F103" i="1"/>
  <c r="S189" i="1"/>
  <c r="M189" i="1"/>
  <c r="F189" i="1"/>
  <c r="M170" i="1"/>
  <c r="G170" i="1"/>
  <c r="F170" i="1"/>
  <c r="M151" i="1"/>
  <c r="G151" i="1"/>
  <c r="F151" i="1"/>
  <c r="M286" i="1"/>
  <c r="G286" i="1"/>
  <c r="F286" i="1"/>
  <c r="M284" i="1"/>
  <c r="G284" i="1"/>
  <c r="M274" i="1"/>
  <c r="G274" i="1"/>
  <c r="F274" i="1"/>
  <c r="M100" i="1"/>
  <c r="G100" i="1"/>
  <c r="F100" i="1"/>
  <c r="F89" i="1"/>
  <c r="S304" i="1"/>
  <c r="N304" i="1"/>
  <c r="F304" i="1"/>
  <c r="S115" i="1"/>
  <c r="M115" i="1"/>
  <c r="F115" i="1"/>
  <c r="S229" i="1"/>
  <c r="M229" i="1"/>
  <c r="F229" i="1"/>
  <c r="S46" i="1"/>
  <c r="N46" i="1"/>
  <c r="F46" i="1"/>
  <c r="S240" i="1"/>
  <c r="N240" i="1"/>
  <c r="M240" i="1"/>
  <c r="F240" i="1"/>
  <c r="S79" i="1"/>
  <c r="M79" i="1"/>
  <c r="F79" i="1"/>
  <c r="N163" i="1"/>
  <c r="M163" i="1"/>
  <c r="F163" i="1"/>
  <c r="S261" i="1"/>
  <c r="M261" i="1"/>
  <c r="F261" i="1"/>
  <c r="S58" i="1"/>
  <c r="M58" i="1"/>
  <c r="F58" i="1"/>
  <c r="N76" i="1"/>
  <c r="M76" i="1"/>
  <c r="F76" i="1"/>
  <c r="S69" i="1"/>
  <c r="N69" i="1"/>
  <c r="M69" i="1"/>
  <c r="F69" i="1"/>
  <c r="M27" i="1"/>
  <c r="F27" i="1"/>
  <c r="S64" i="1"/>
  <c r="M64" i="1"/>
  <c r="G64" i="1"/>
  <c r="F64" i="1"/>
  <c r="S63" i="1"/>
  <c r="M63" i="1"/>
  <c r="G63" i="1"/>
  <c r="F63" i="1"/>
  <c r="S223" i="1"/>
  <c r="M223" i="1"/>
  <c r="F223" i="1"/>
  <c r="S260" i="1"/>
  <c r="M260" i="1"/>
  <c r="F260" i="1"/>
  <c r="M127" i="1"/>
  <c r="F127" i="1"/>
  <c r="S256" i="1"/>
  <c r="F256" i="1"/>
  <c r="S248" i="1"/>
  <c r="N248" i="1"/>
  <c r="F248" i="1"/>
  <c r="F326" i="1"/>
  <c r="S241" i="1"/>
  <c r="M241" i="1"/>
  <c r="F241" i="1"/>
  <c r="S80" i="1"/>
  <c r="M80" i="1"/>
  <c r="F80" i="1"/>
  <c r="S40" i="1"/>
  <c r="M40" i="1"/>
  <c r="F40" i="1"/>
  <c r="M85" i="1"/>
  <c r="G85" i="1"/>
  <c r="F85" i="1"/>
  <c r="M147" i="1"/>
  <c r="G147" i="1"/>
  <c r="F147" i="1"/>
  <c r="S215" i="1"/>
  <c r="M215" i="1"/>
  <c r="F215" i="1"/>
  <c r="M65" i="1"/>
  <c r="F65" i="1"/>
  <c r="S141" i="1"/>
  <c r="M141" i="1"/>
  <c r="F141" i="1"/>
  <c r="M303" i="1"/>
  <c r="F303" i="1"/>
  <c r="S250" i="1"/>
  <c r="F250" i="1"/>
  <c r="S158" i="1"/>
  <c r="M158" i="1"/>
  <c r="F158" i="1"/>
  <c r="M179" i="1"/>
  <c r="F179" i="1"/>
  <c r="M225" i="1"/>
  <c r="F225" i="1"/>
  <c r="S164" i="1"/>
  <c r="M164" i="1"/>
  <c r="F164" i="1"/>
  <c r="S25" i="1"/>
  <c r="M25" i="1"/>
  <c r="F25" i="1"/>
  <c r="S298" i="1"/>
  <c r="M298" i="1"/>
  <c r="F298" i="1"/>
  <c r="S193" i="1"/>
  <c r="M193" i="1"/>
  <c r="F193" i="1"/>
  <c r="S161" i="1"/>
  <c r="M161" i="1"/>
  <c r="F161" i="1"/>
  <c r="S9" i="1"/>
  <c r="M9" i="1"/>
  <c r="F9" i="1"/>
  <c r="S182" i="1"/>
  <c r="M182" i="1"/>
  <c r="F182" i="1"/>
  <c r="S181" i="1"/>
  <c r="N181" i="1"/>
  <c r="M181" i="1"/>
  <c r="F181" i="1"/>
  <c r="S196" i="1"/>
  <c r="M196" i="1"/>
  <c r="F196" i="1"/>
  <c r="S273" i="1"/>
  <c r="M273" i="1"/>
  <c r="F273" i="1"/>
  <c r="F34" i="1"/>
  <c r="S109" i="1"/>
  <c r="M109" i="1"/>
  <c r="F109" i="1"/>
  <c r="M60" i="1"/>
  <c r="F60" i="1"/>
  <c r="S166" i="1"/>
  <c r="M166" i="1"/>
  <c r="F166" i="1"/>
  <c r="F266" i="1"/>
  <c r="S67" i="1"/>
  <c r="F67" i="1"/>
  <c r="F66" i="1"/>
  <c r="S99" i="1"/>
  <c r="F99" i="1"/>
  <c r="F328" i="1"/>
  <c r="S61" i="1"/>
  <c r="M61" i="1"/>
  <c r="F61" i="1"/>
  <c r="S239" i="1"/>
  <c r="M239" i="1"/>
  <c r="F239" i="1"/>
  <c r="S202" i="1"/>
  <c r="M202" i="1"/>
  <c r="F202" i="1"/>
  <c r="S191" i="1"/>
  <c r="M191" i="1"/>
  <c r="F191" i="1"/>
  <c r="S201" i="1"/>
  <c r="M201" i="1"/>
  <c r="F201" i="1"/>
  <c r="M91" i="1"/>
  <c r="F91" i="1"/>
  <c r="S185" i="1"/>
  <c r="N185" i="1"/>
  <c r="F185" i="1"/>
  <c r="M294" i="1"/>
  <c r="F294" i="1"/>
  <c r="N254" i="1"/>
  <c r="G254" i="1"/>
  <c r="F254" i="1"/>
  <c r="N74" i="1"/>
  <c r="G74" i="1"/>
  <c r="F74" i="1"/>
  <c r="F53" i="1"/>
  <c r="F28" i="1"/>
  <c r="N126" i="1"/>
  <c r="G126" i="1"/>
  <c r="F126" i="1"/>
  <c r="F324" i="1"/>
  <c r="F379" i="1"/>
  <c r="S152" i="1"/>
  <c r="F152" i="1"/>
  <c r="S122" i="1"/>
  <c r="M122" i="1"/>
  <c r="S190" i="1"/>
  <c r="M190" i="1"/>
  <c r="L190" i="1"/>
  <c r="J190" i="1"/>
  <c r="I190" i="1"/>
  <c r="F190" i="1"/>
  <c r="N252" i="1"/>
  <c r="G252" i="1"/>
  <c r="F252" i="1"/>
  <c r="N387" i="1"/>
  <c r="G387" i="1"/>
  <c r="F387" i="1"/>
  <c r="S299" i="1"/>
  <c r="N299" i="1"/>
  <c r="G299" i="1"/>
  <c r="F299" i="1"/>
  <c r="S269" i="1"/>
  <c r="N269" i="1"/>
  <c r="G269" i="1"/>
  <c r="F269" i="1"/>
  <c r="S120" i="1"/>
  <c r="M120" i="1"/>
  <c r="L120" i="1"/>
  <c r="J120" i="1"/>
  <c r="I120" i="1"/>
  <c r="H120" i="1"/>
  <c r="F120" i="1"/>
  <c r="F342" i="1"/>
  <c r="F302" i="1"/>
  <c r="F288" i="1"/>
  <c r="F272" i="1"/>
  <c r="F233" i="1"/>
  <c r="F102" i="1"/>
  <c r="F101" i="1"/>
  <c r="N148" i="1"/>
  <c r="G148" i="1"/>
  <c r="F148" i="1"/>
  <c r="F377" i="1"/>
  <c r="F5" i="1"/>
  <c r="N121" i="1"/>
  <c r="G121" i="1"/>
  <c r="F121" i="1"/>
  <c r="F246" i="1"/>
  <c r="F230" i="1"/>
  <c r="F156" i="1"/>
  <c r="F285" i="1"/>
  <c r="S78" i="1"/>
  <c r="F78" i="1"/>
  <c r="S227" i="1"/>
  <c r="F227" i="1"/>
  <c r="N132" i="1"/>
  <c r="F132" i="1"/>
  <c r="S331" i="1"/>
  <c r="N331" i="1"/>
  <c r="G331" i="1"/>
  <c r="F331" i="1"/>
  <c r="N257" i="1"/>
  <c r="G257" i="1"/>
  <c r="F257" i="1"/>
  <c r="N253" i="1"/>
  <c r="F253" i="1"/>
  <c r="S322" i="1"/>
  <c r="F322" i="1"/>
  <c r="S52" i="1"/>
  <c r="F52" i="1"/>
  <c r="N315" i="1"/>
  <c r="F315" i="1"/>
  <c r="N107" i="1"/>
  <c r="F107" i="1"/>
  <c r="F378" i="1"/>
  <c r="S305" i="1"/>
  <c r="F305" i="1"/>
  <c r="S234" i="1"/>
  <c r="N234" i="1"/>
  <c r="F234" i="1"/>
  <c r="S81" i="1"/>
  <c r="N81" i="1"/>
  <c r="F81" i="1"/>
  <c r="G343" i="1"/>
  <c r="F343" i="1"/>
  <c r="G45" i="1"/>
  <c r="F45" i="1"/>
  <c r="S301" i="1"/>
  <c r="F301" i="1"/>
  <c r="S142" i="1"/>
  <c r="N142" i="1"/>
  <c r="F142" i="1"/>
  <c r="N162" i="1"/>
  <c r="F162" i="1"/>
  <c r="S95" i="1"/>
  <c r="F95" i="1"/>
  <c r="G47" i="1"/>
  <c r="F47" i="1"/>
  <c r="G15" i="1"/>
  <c r="F15" i="1"/>
  <c r="N159" i="1"/>
  <c r="G159" i="1"/>
  <c r="F159" i="1"/>
  <c r="S339" i="1"/>
  <c r="N339" i="1"/>
  <c r="M339" i="1"/>
  <c r="L339" i="1"/>
  <c r="J339" i="1"/>
  <c r="I339" i="1"/>
  <c r="H339" i="1"/>
  <c r="N216" i="1"/>
  <c r="G216" i="1"/>
  <c r="F216" i="1"/>
  <c r="S289" i="1"/>
  <c r="F289" i="1"/>
  <c r="S13" i="1"/>
  <c r="N13" i="1"/>
  <c r="F13" i="1"/>
  <c r="N157" i="1"/>
  <c r="J157" i="1"/>
  <c r="I157" i="1"/>
  <c r="F157" i="1"/>
  <c r="G84" i="1"/>
  <c r="F84" i="1"/>
  <c r="G388" i="1"/>
  <c r="F388" i="1"/>
  <c r="S340" i="1"/>
  <c r="F340" i="1"/>
  <c r="S244" i="1"/>
  <c r="F244" i="1"/>
  <c r="S110" i="1"/>
  <c r="F110" i="1"/>
  <c r="S23" i="1"/>
  <c r="F23" i="1"/>
  <c r="N287" i="1"/>
  <c r="F287" i="1"/>
  <c r="N111" i="1"/>
  <c r="F111" i="1"/>
</calcChain>
</file>

<file path=xl/sharedStrings.xml><?xml version="1.0" encoding="utf-8"?>
<sst xmlns="http://schemas.openxmlformats.org/spreadsheetml/2006/main" count="4897" uniqueCount="1252">
  <si>
    <t>Titre</t>
  </si>
  <si>
    <t>Auteur</t>
  </si>
  <si>
    <t>Genre</t>
  </si>
  <si>
    <t>Edition</t>
  </si>
  <si>
    <t>Collection</t>
  </si>
  <si>
    <t>ISBN</t>
  </si>
  <si>
    <t>Introducteur</t>
  </si>
  <si>
    <t>Traducteur</t>
  </si>
  <si>
    <t>Impression</t>
  </si>
  <si>
    <t>Histoire</t>
  </si>
  <si>
    <t>Lu</t>
  </si>
  <si>
    <t>Favoris</t>
  </si>
  <si>
    <t>Georges Orwell</t>
  </si>
  <si>
    <t>Littérature</t>
  </si>
  <si>
    <t>Anglais</t>
  </si>
  <si>
    <t>Gallimard</t>
  </si>
  <si>
    <t>Folio</t>
  </si>
  <si>
    <t>978-2-07-036822-8</t>
  </si>
  <si>
    <t>Amélie Audiberti</t>
  </si>
  <si>
    <t>Oui</t>
  </si>
  <si>
    <t>Non</t>
  </si>
  <si>
    <t>Agamemnon</t>
  </si>
  <si>
    <t>Sénèque</t>
  </si>
  <si>
    <t>Théâtre</t>
  </si>
  <si>
    <t>Latin</t>
  </si>
  <si>
    <t>Folio Classique</t>
  </si>
  <si>
    <t>978-2-07-284003-6</t>
  </si>
  <si>
    <t>Blandine Le Callet</t>
  </si>
  <si>
    <t>Ainsi parlait Zarathoustra</t>
  </si>
  <si>
    <t>Friedrich Nietzsche</t>
  </si>
  <si>
    <t>Philosophie</t>
  </si>
  <si>
    <t>Allemand</t>
  </si>
  <si>
    <t>Flammarion</t>
  </si>
  <si>
    <t>978-2-0807-1302-5</t>
  </si>
  <si>
    <t>Paul Mathias</t>
  </si>
  <si>
    <t>Geneviève Bianquis</t>
  </si>
  <si>
    <t>Alcools</t>
  </si>
  <si>
    <t>Guillaume Apollinaire</t>
  </si>
  <si>
    <t>Poésie</t>
  </si>
  <si>
    <t>Français</t>
  </si>
  <si>
    <t>Etonnants Classiques</t>
  </si>
  <si>
    <t>978-2-0814-8717-8</t>
  </si>
  <si>
    <t>Sylvie Cain-Roullier</t>
  </si>
  <si>
    <t>American psycho</t>
  </si>
  <si>
    <t>Bret Easton Ellis</t>
  </si>
  <si>
    <t>Roman</t>
  </si>
  <si>
    <t>Américain</t>
  </si>
  <si>
    <t>10/18</t>
  </si>
  <si>
    <t>978-2-264-03937-8</t>
  </si>
  <si>
    <t>Alain Defossé</t>
  </si>
  <si>
    <t>Andromaque</t>
  </si>
  <si>
    <t>Jean Racine</t>
  </si>
  <si>
    <t>978-2-07-046664-1</t>
  </si>
  <si>
    <t>Raymond Picard</t>
  </si>
  <si>
    <t>Anges et démons</t>
  </si>
  <si>
    <t>Dan Brown</t>
  </si>
  <si>
    <t>Jean-Claude Lattès</t>
  </si>
  <si>
    <t>Le Livre de Poche</t>
  </si>
  <si>
    <t>978-2-253-09300-8</t>
  </si>
  <si>
    <t>Daniel Roche</t>
  </si>
  <si>
    <t>Anglais - Vocabulaire</t>
  </si>
  <si>
    <t>Jacqueline Fromonot</t>
  </si>
  <si>
    <t>Langue</t>
  </si>
  <si>
    <t>Nathan</t>
  </si>
  <si>
    <t>Le Robert &amp; Nathan</t>
  </si>
  <si>
    <t>978-2-09-152011-7</t>
  </si>
  <si>
    <t>Anna Karénine</t>
  </si>
  <si>
    <t>Léon Tolstoï</t>
  </si>
  <si>
    <t>Russe</t>
  </si>
  <si>
    <t>Classiques</t>
  </si>
  <si>
    <t>978-2-253-09838-6</t>
  </si>
  <si>
    <t>André Maurois</t>
  </si>
  <si>
    <t>Boris de Schloezer</t>
  </si>
  <si>
    <t>Antigone</t>
  </si>
  <si>
    <t>Sophocle</t>
  </si>
  <si>
    <t>Grec</t>
  </si>
  <si>
    <t>978-2-0807-1023-9</t>
  </si>
  <si>
    <t>Charles Guittard</t>
  </si>
  <si>
    <t>Robert Pignarre</t>
  </si>
  <si>
    <t>Apologie de Socrate</t>
  </si>
  <si>
    <t>Platon</t>
  </si>
  <si>
    <t>978-2-0814-1602-4</t>
  </si>
  <si>
    <t>Luc Brisson</t>
  </si>
  <si>
    <t>Atlas d'anatomie humaine</t>
  </si>
  <si>
    <t>Frank H. Netter</t>
  </si>
  <si>
    <t>Sciences</t>
  </si>
  <si>
    <t>Elsevier Masson</t>
  </si>
  <si>
    <t>978-2-294-75629-0</t>
  </si>
  <si>
    <t>Pierre Kamina</t>
  </si>
  <si>
    <t>Atlas of human anatomy and surgery</t>
  </si>
  <si>
    <t>J.M. Bourgery</t>
  </si>
  <si>
    <t>Taschen</t>
  </si>
  <si>
    <t>Bibliotheca Universalis</t>
  </si>
  <si>
    <t>978-3-8365-5663-7</t>
  </si>
  <si>
    <t>Au bonheur des dames</t>
  </si>
  <si>
    <t>Emile Zola</t>
  </si>
  <si>
    <t>978-2-253-00286-4</t>
  </si>
  <si>
    <t>Sophie Guermès</t>
  </si>
  <si>
    <t>Autres poèmes</t>
  </si>
  <si>
    <t>Stéphane Mallarmé</t>
  </si>
  <si>
    <t>978-2-07-032716-4</t>
  </si>
  <si>
    <t>Yves Bonnefoy</t>
  </si>
  <si>
    <t>Bel-ami</t>
  </si>
  <si>
    <t>Guy de Maupassant</t>
  </si>
  <si>
    <t>978-2-0814-4460-7</t>
  </si>
  <si>
    <t>Adeline Wrona</t>
  </si>
  <si>
    <t>Bosch - L'œuvre complet</t>
  </si>
  <si>
    <t>Stefan Fischer</t>
  </si>
  <si>
    <t>Art</t>
  </si>
  <si>
    <t>40th Edition</t>
  </si>
  <si>
    <t>978-3-8365-8785-3</t>
  </si>
  <si>
    <t>Bouclier</t>
  </si>
  <si>
    <t>Hésiode</t>
  </si>
  <si>
    <t>978-2-07-039344-2</t>
  </si>
  <si>
    <t>Jean-Louis Backès</t>
  </si>
  <si>
    <t>Boule de suif</t>
  </si>
  <si>
    <t>978-2-07-041119-1</t>
  </si>
  <si>
    <t>Louis Forestier</t>
  </si>
  <si>
    <t>Britannicus</t>
  </si>
  <si>
    <t>978-2-07-046662-7</t>
  </si>
  <si>
    <t>Georges Forestier</t>
  </si>
  <si>
    <t>Bruegel - Tout l'œuvre peint</t>
  </si>
  <si>
    <t>Jürgen Müller</t>
  </si>
  <si>
    <t>978-3-8365-8095-3</t>
  </si>
  <si>
    <t>Candide</t>
  </si>
  <si>
    <t>Voltaire</t>
  </si>
  <si>
    <t>978-2-253-09808-9</t>
  </si>
  <si>
    <t>Sylviane Léoni</t>
  </si>
  <si>
    <t>Canzoniere</t>
  </si>
  <si>
    <t>Pétrarque</t>
  </si>
  <si>
    <t>Italien</t>
  </si>
  <si>
    <t>NRF</t>
  </si>
  <si>
    <t>978-2-07-274375-7</t>
  </si>
  <si>
    <t>René de Ceccatty</t>
  </si>
  <si>
    <t>Caravage - L'œuvre complet</t>
  </si>
  <si>
    <t>Sebastian Schütze</t>
  </si>
  <si>
    <t>978-3-8365-8795-2</t>
  </si>
  <si>
    <t>Chimie - 1ère année - MPSI-PTSI</t>
  </si>
  <si>
    <t>Pierre Grécias</t>
  </si>
  <si>
    <t>Lavoisier</t>
  </si>
  <si>
    <t>Compétences prépa</t>
  </si>
  <si>
    <t>978-2-7430-1514-5</t>
  </si>
  <si>
    <t>Christine</t>
  </si>
  <si>
    <t>Stephen King</t>
  </si>
  <si>
    <t>Albin Michel</t>
  </si>
  <si>
    <t>978-2-253-14769-5</t>
  </si>
  <si>
    <t>Marie Milpois</t>
  </si>
  <si>
    <t>Claude Gueux</t>
  </si>
  <si>
    <t>Victor Hugo</t>
  </si>
  <si>
    <t>978-2-07-269996-2</t>
  </si>
  <si>
    <t>Arnaud Laster</t>
  </si>
  <si>
    <t>Code 612 : qui a tué le Petit Prince</t>
  </si>
  <si>
    <t>Michel Bussi</t>
  </si>
  <si>
    <t>Les Presses de la Cité</t>
  </si>
  <si>
    <t>978-2-258-19790-9</t>
  </si>
  <si>
    <t>Comment regarder un tableau</t>
  </si>
  <si>
    <t>Françoise Barbe-Gall</t>
  </si>
  <si>
    <t>Chêne</t>
  </si>
  <si>
    <t>978-2-81232-093-4</t>
  </si>
  <si>
    <t>Contes</t>
  </si>
  <si>
    <t>Hans Christian Andersen</t>
  </si>
  <si>
    <t>Récit</t>
  </si>
  <si>
    <t>Danois</t>
  </si>
  <si>
    <t>978-2-253-16113-4</t>
  </si>
  <si>
    <t>Marc Auchet</t>
  </si>
  <si>
    <t>Charles Perrault</t>
  </si>
  <si>
    <t>978-2-253-08228-6</t>
  </si>
  <si>
    <t>Catherine Magnien</t>
  </si>
  <si>
    <t>Grimm</t>
  </si>
  <si>
    <t>978-2-07-036840-2</t>
  </si>
  <si>
    <t>Marthe Robert</t>
  </si>
  <si>
    <t>Crime et châtiment</t>
  </si>
  <si>
    <t>Fiodor Dostoïevski</t>
  </si>
  <si>
    <t>978-2-07-284323-5</t>
  </si>
  <si>
    <t>Georges Nivat</t>
  </si>
  <si>
    <t>D. Ergaz</t>
  </si>
  <si>
    <t>Critias</t>
  </si>
  <si>
    <t>978-2-0814-2156-1</t>
  </si>
  <si>
    <t>Michel Patillon</t>
  </si>
  <si>
    <t>Critique de la raison pure</t>
  </si>
  <si>
    <t>Emmanuel Kant</t>
  </si>
  <si>
    <t>978-2-0807-1304-9</t>
  </si>
  <si>
    <t>Alain Renaut</t>
  </si>
  <si>
    <t>Criton</t>
  </si>
  <si>
    <t>Croc-Blanc</t>
  </si>
  <si>
    <t>Jack London</t>
  </si>
  <si>
    <t>Gallimard Jeunesse</t>
  </si>
  <si>
    <t>Folio Junior</t>
  </si>
  <si>
    <t>978-2-07-065190-0</t>
  </si>
  <si>
    <t>Philippe Sabathé</t>
  </si>
  <si>
    <t>Cyrano de Bergerac</t>
  </si>
  <si>
    <t>Edmond Rostand</t>
  </si>
  <si>
    <t>978-2-07-040931-0</t>
  </si>
  <si>
    <t>Patrick Besnier</t>
  </si>
  <si>
    <t>Da Vinci code</t>
  </si>
  <si>
    <t>978-2-253-00117-1</t>
  </si>
  <si>
    <t>Dali - L'œuvre peint</t>
  </si>
  <si>
    <t>Robert Descharnes</t>
  </si>
  <si>
    <t>978-3-8365-4491-7</t>
  </si>
  <si>
    <t>De l'âme</t>
  </si>
  <si>
    <t>Aristote</t>
  </si>
  <si>
    <t>978-2-0814-2154-7</t>
  </si>
  <si>
    <t>Richard Bodéüs</t>
  </si>
  <si>
    <t>Décaméron</t>
  </si>
  <si>
    <t>Jean Boccace</t>
  </si>
  <si>
    <t>978-2-253-90702-2</t>
  </si>
  <si>
    <t>Christian Bec</t>
  </si>
  <si>
    <t>Marthe Dozon</t>
  </si>
  <si>
    <t>Deception point</t>
  </si>
  <si>
    <t>978-2-253-12316-3</t>
  </si>
  <si>
    <t>Deux lettres</t>
  </si>
  <si>
    <t>Arthur Rimbaud</t>
  </si>
  <si>
    <t>978-2-0813-8272-5</t>
  </si>
  <si>
    <t>Jean-Luc Steinmetz</t>
  </si>
  <si>
    <t>Dictionnaire des symboles</t>
  </si>
  <si>
    <t>Jean Chevalier</t>
  </si>
  <si>
    <t>Robert Laffont</t>
  </si>
  <si>
    <t>Bouquins</t>
  </si>
  <si>
    <t>978-2-22-108716-9</t>
  </si>
  <si>
    <t>Dictionnaire Hachette</t>
  </si>
  <si>
    <t>Jean-Pierre Mevel</t>
  </si>
  <si>
    <t>Hachette</t>
  </si>
  <si>
    <t>978-2-01-281420-2</t>
  </si>
  <si>
    <t>Dictionnaire philosophique</t>
  </si>
  <si>
    <t>978-2-07-038628-4</t>
  </si>
  <si>
    <t>Alain Pons</t>
  </si>
  <si>
    <t>André Comte-Sponville</t>
  </si>
  <si>
    <t>PUF</t>
  </si>
  <si>
    <t>978-2-13-080435-2</t>
  </si>
  <si>
    <t>Discours de la méthode</t>
  </si>
  <si>
    <t>René Descartes</t>
  </si>
  <si>
    <t>978-2-0813-9071-3</t>
  </si>
  <si>
    <t>Laurence Renault</t>
  </si>
  <si>
    <t>Discours de la servitude volontaire</t>
  </si>
  <si>
    <t>Etienne de la Boétie</t>
  </si>
  <si>
    <t>978-2-0813-7501-7</t>
  </si>
  <si>
    <t>Simone Goyard-Fabre</t>
  </si>
  <si>
    <t>Discours sur l'ensemble du positivisme</t>
  </si>
  <si>
    <t>Auguste Comte</t>
  </si>
  <si>
    <t>978-2-0807-0991-2</t>
  </si>
  <si>
    <t>Anne Petit</t>
  </si>
  <si>
    <t>Discours sur les sciences et les arts</t>
  </si>
  <si>
    <t>Jean-Jacques Rousseau</t>
  </si>
  <si>
    <t>978-2-0814-4466-9</t>
  </si>
  <si>
    <t>Jacques Roger</t>
  </si>
  <si>
    <t>Discours sur l'origine et les fondements de l'inégalité parmis les hommes</t>
  </si>
  <si>
    <t>Dom Juan</t>
  </si>
  <si>
    <t>Molière</t>
  </si>
  <si>
    <t>978-2-07-045001-5</t>
  </si>
  <si>
    <t>Georges Couton</t>
  </si>
  <si>
    <t>Don Quichotte I</t>
  </si>
  <si>
    <t>Miguel de Cervantes</t>
  </si>
  <si>
    <t>Espagnol</t>
  </si>
  <si>
    <t>978-2-07-043807-5</t>
  </si>
  <si>
    <t>Jean Canavaggio</t>
  </si>
  <si>
    <t>Don Quichotte II</t>
  </si>
  <si>
    <t>978-2-07-043808-2</t>
  </si>
  <si>
    <t>Douze petits écrits</t>
  </si>
  <si>
    <t>Francis Ponge</t>
  </si>
  <si>
    <t>978-2-07-030223-9</t>
  </si>
  <si>
    <t>Du contrat social</t>
  </si>
  <si>
    <t>978-2-0812-7523-2</t>
  </si>
  <si>
    <t>Bruno Bernardi</t>
  </si>
  <si>
    <t>Du côté de chez Swann</t>
  </si>
  <si>
    <t>Marcel Proust</t>
  </si>
  <si>
    <t>978-2-07-037924-8</t>
  </si>
  <si>
    <t>Antoine Compagnon</t>
  </si>
  <si>
    <t>Durée et simultanéité</t>
  </si>
  <si>
    <t>Henri Bergson</t>
  </si>
  <si>
    <t>978-2-0812-2333-2</t>
  </si>
  <si>
    <t>Jean-Marc Lévy-Leblond</t>
  </si>
  <si>
    <t>Ecrits sur l'art</t>
  </si>
  <si>
    <t>Charles Baudelaire</t>
  </si>
  <si>
    <t>978-2-253-06090-1</t>
  </si>
  <si>
    <t>Francis Moulinat</t>
  </si>
  <si>
    <t>Eldorado</t>
  </si>
  <si>
    <t>Laurent Gaudé</t>
  </si>
  <si>
    <t>J'ai Lu</t>
  </si>
  <si>
    <t>978-2-290-00654-2</t>
  </si>
  <si>
    <t>Eloge de la folie</t>
  </si>
  <si>
    <t>Erasme</t>
  </si>
  <si>
    <t>978-2-0813-9072-0</t>
  </si>
  <si>
    <t>Maurice Rat</t>
  </si>
  <si>
    <t>Pierre de Nolhac</t>
  </si>
  <si>
    <t>Elsa</t>
  </si>
  <si>
    <t>Louis Aragon</t>
  </si>
  <si>
    <t>978-2-07-035959-2</t>
  </si>
  <si>
    <t>Olivier Barbarant</t>
  </si>
  <si>
    <t>Emile ou de l'éducation</t>
  </si>
  <si>
    <t>978-2-0812-0692-2</t>
  </si>
  <si>
    <t>André Charrak</t>
  </si>
  <si>
    <t>En attendant Godot</t>
  </si>
  <si>
    <t>Samuel Beckett</t>
  </si>
  <si>
    <t>Minuit</t>
  </si>
  <si>
    <t>978-2-7073-0148-2</t>
  </si>
  <si>
    <t>Enéide</t>
  </si>
  <si>
    <t>Virgile</t>
  </si>
  <si>
    <t>978-2-253-08537-9</t>
  </si>
  <si>
    <t>Sylvie Laigneau</t>
  </si>
  <si>
    <t>Maurice Lefaure</t>
  </si>
  <si>
    <t>Entretien d'un philosophe avec Madame la Maréchale de ***</t>
  </si>
  <si>
    <t>Denis Diderot</t>
  </si>
  <si>
    <t>978-2-0812-2002-7</t>
  </si>
  <si>
    <t>Jean-Claude Bourdin</t>
  </si>
  <si>
    <t>Epîtres</t>
  </si>
  <si>
    <t>Nicolas Boileau</t>
  </si>
  <si>
    <t>978-2-07-032293-0</t>
  </si>
  <si>
    <t>Jean-Pierre Collinet</t>
  </si>
  <si>
    <t>Ethique à Nicomaque</t>
  </si>
  <si>
    <t>978-2-0807-0947-9</t>
  </si>
  <si>
    <t>Eugénie Grandet</t>
  </si>
  <si>
    <t>Honoré de Balzac</t>
  </si>
  <si>
    <t>978-2-253-00386-1</t>
  </si>
  <si>
    <t>Martine Reid</t>
  </si>
  <si>
    <t>Exercices de style</t>
  </si>
  <si>
    <t>Raymond Queneau</t>
  </si>
  <si>
    <t>978-2-07-037363-5</t>
  </si>
  <si>
    <t>Fables</t>
  </si>
  <si>
    <t>Esope</t>
  </si>
  <si>
    <t>978-2-07-045393-1</t>
  </si>
  <si>
    <t>Antoine Biscéré</t>
  </si>
  <si>
    <t>Julien Bardot</t>
  </si>
  <si>
    <t>Jean de la Fontaine</t>
  </si>
  <si>
    <t>978-2-253-01004-3</t>
  </si>
  <si>
    <t>Jean-Charles Darmon</t>
  </si>
  <si>
    <t>First and goal : 100 ans de NFL</t>
  </si>
  <si>
    <t>Didier Angelu</t>
  </si>
  <si>
    <t>Sport</t>
  </si>
  <si>
    <t>CMS Editions64</t>
  </si>
  <si>
    <t>978-2-9552918-3-2</t>
  </si>
  <si>
    <t>Forteresse digitale</t>
  </si>
  <si>
    <t>978-2-253-12707-9</t>
  </si>
  <si>
    <t>Dominique Defert</t>
  </si>
  <si>
    <t>Frankenstein</t>
  </si>
  <si>
    <t>Mary W. Shelley</t>
  </si>
  <si>
    <t>978-2-253-08875-2</t>
  </si>
  <si>
    <t>Jean-Pierre Naugrette</t>
  </si>
  <si>
    <t>Joe Ceurvorst</t>
  </si>
  <si>
    <t>Gargantua</t>
  </si>
  <si>
    <t>François Rabelais</t>
  </si>
  <si>
    <t>978-2-07-031736-3</t>
  </si>
  <si>
    <t>Mireille Huchon</t>
  </si>
  <si>
    <t>Gaudi - L'œuvre complet</t>
  </si>
  <si>
    <t>Rainer Zerbst</t>
  </si>
  <si>
    <t>978-3-8365-6618-6</t>
  </si>
  <si>
    <t>Généalogie de la morale</t>
  </si>
  <si>
    <t>978-2-0807-0754-3</t>
  </si>
  <si>
    <t>Philippe Choulet</t>
  </si>
  <si>
    <t>Eric Blondel</t>
  </si>
  <si>
    <t>Germinal</t>
  </si>
  <si>
    <t>978-2-253-00422-6</t>
  </si>
  <si>
    <t>Colette Becker</t>
  </si>
  <si>
    <t>Gorgias</t>
  </si>
  <si>
    <t>978-2-0814-2773-0</t>
  </si>
  <si>
    <t>Monique Canto-Sperber</t>
  </si>
  <si>
    <t>Grammaire raisonnée 2</t>
  </si>
  <si>
    <t>Jean-Claude Burgue</t>
  </si>
  <si>
    <t>Ophrys</t>
  </si>
  <si>
    <t>Grammaires et méthodes</t>
  </si>
  <si>
    <t>978-2-7080-1577-7</t>
  </si>
  <si>
    <t>Gustav Klimt - Tout l'œuvre peint</t>
  </si>
  <si>
    <t>Tobias G. Natter</t>
  </si>
  <si>
    <t>978-3-8365-6289-8</t>
  </si>
  <si>
    <t>Hamlet</t>
  </si>
  <si>
    <t>William Shakespeare</t>
  </si>
  <si>
    <t>978-2-07-046850-8</t>
  </si>
  <si>
    <t>Harmonies poétiques et religieuses</t>
  </si>
  <si>
    <t>Alphonse de Lamartine</t>
  </si>
  <si>
    <t>978-2-07-032200-8</t>
  </si>
  <si>
    <t>Marius-François Guyard</t>
  </si>
  <si>
    <t>Hercule furieux</t>
  </si>
  <si>
    <t>Hercule sur l'Oeta</t>
  </si>
  <si>
    <t>Hernani</t>
  </si>
  <si>
    <t>978-2-0814-3361-8</t>
  </si>
  <si>
    <t>Florence Naugrette</t>
  </si>
  <si>
    <t>Hérodiade</t>
  </si>
  <si>
    <t>Histoire de l'art</t>
  </si>
  <si>
    <t>Ernst Gombrich</t>
  </si>
  <si>
    <t>Phaidon</t>
  </si>
  <si>
    <t>978-0-7148-9207-8</t>
  </si>
  <si>
    <t>J. Combe</t>
  </si>
  <si>
    <t>Histoire des animaux</t>
  </si>
  <si>
    <t>978-2-0807-1291-2</t>
  </si>
  <si>
    <t>Pierre Pellegrin</t>
  </si>
  <si>
    <t>Histoires extraordinaires</t>
  </si>
  <si>
    <t>Edgar Allan Poe</t>
  </si>
  <si>
    <t>Nouvelle</t>
  </si>
  <si>
    <t>978-2-253-00692-3</t>
  </si>
  <si>
    <t>Michel Zéraffa</t>
  </si>
  <si>
    <t>Horace</t>
  </si>
  <si>
    <t>Pierre Corneille</t>
  </si>
  <si>
    <t>978-2-0814-7010-1</t>
  </si>
  <si>
    <t>Marc Escola</t>
  </si>
  <si>
    <t>Hymnes homériques</t>
  </si>
  <si>
    <t>Iliade</t>
  </si>
  <si>
    <t>Homère</t>
  </si>
  <si>
    <t>978-2-0814-1598-0</t>
  </si>
  <si>
    <t>Jean Métayer</t>
  </si>
  <si>
    <t>Eugène Lasserre</t>
  </si>
  <si>
    <t>Illuminations</t>
  </si>
  <si>
    <t>Illusions perdues</t>
  </si>
  <si>
    <t>978-2-253-08570-6</t>
  </si>
  <si>
    <t>Patrick Berthier</t>
  </si>
  <si>
    <t>Inferno</t>
  </si>
  <si>
    <t>978-2-253-00456-1</t>
  </si>
  <si>
    <t>Jacques le fataliste et son maître</t>
  </si>
  <si>
    <t>978-2-0814-2777-8</t>
  </si>
  <si>
    <t>Barbara K.-Toumarkine</t>
  </si>
  <si>
    <t>Journal de Raskolnikov</t>
  </si>
  <si>
    <t>Vladimir Pozner</t>
  </si>
  <si>
    <t>Knock</t>
  </si>
  <si>
    <t>Jules Romains</t>
  </si>
  <si>
    <t>978-2-07-036060-4</t>
  </si>
  <si>
    <t>La Bête humaine</t>
  </si>
  <si>
    <t>978-2-253-00557-5</t>
  </si>
  <si>
    <t>Gisèle Séginger</t>
  </si>
  <si>
    <t>La Bible</t>
  </si>
  <si>
    <t>Dieu</t>
  </si>
  <si>
    <t>Religion</t>
  </si>
  <si>
    <t>978-2-71-890876-2</t>
  </si>
  <si>
    <t>La Brièveté de la vie</t>
  </si>
  <si>
    <t>978-2-0807-1244-8</t>
  </si>
  <si>
    <t>La Chanson de Roland</t>
  </si>
  <si>
    <t>Turold</t>
  </si>
  <si>
    <t>Lettres gothiques</t>
  </si>
  <si>
    <t>978-2-253-05341-4</t>
  </si>
  <si>
    <t>Ian Short</t>
  </si>
  <si>
    <t>La Conquête de Plassans</t>
  </si>
  <si>
    <t>978-2-253-00894-1</t>
  </si>
  <si>
    <t>La Curée</t>
  </si>
  <si>
    <t>978-2-0812-5577-7</t>
  </si>
  <si>
    <t>François-Marie Mourad</t>
  </si>
  <si>
    <t>La Dame aux camélias</t>
  </si>
  <si>
    <t>Alexandre Dumas fils</t>
  </si>
  <si>
    <t>978-2-07-036704-7</t>
  </si>
  <si>
    <t>La Divine Comédie</t>
  </si>
  <si>
    <t>Dante Alighieri</t>
  </si>
  <si>
    <t>978-2-0812-3155-9</t>
  </si>
  <si>
    <t>Jacqueline Risset</t>
  </si>
  <si>
    <t>La double inconstance</t>
  </si>
  <si>
    <t>Marivaux</t>
  </si>
  <si>
    <t>978-2-0807-0952-3</t>
  </si>
  <si>
    <t>Christophe Martin</t>
  </si>
  <si>
    <t>La Faute de l'abbé Mouret</t>
  </si>
  <si>
    <t>978-2-253-00559-9</t>
  </si>
  <si>
    <t>La Ferme des animaux</t>
  </si>
  <si>
    <t>978-2-07-294740-7</t>
  </si>
  <si>
    <t>Philippe Jaworski</t>
  </si>
  <si>
    <t>Jean Queval</t>
  </si>
  <si>
    <t>La Fin de l'homme rouge</t>
  </si>
  <si>
    <t>Svetlana Alexievitch</t>
  </si>
  <si>
    <t>Babel</t>
  </si>
  <si>
    <t>978-2-330-06684-0</t>
  </si>
  <si>
    <t>Sophie Benech</t>
  </si>
  <si>
    <t>La Fortune des Rougon</t>
  </si>
  <si>
    <t>978-2-253-16118-9</t>
  </si>
  <si>
    <t>La Guerre des Gaules</t>
  </si>
  <si>
    <t>Jules César</t>
  </si>
  <si>
    <t>978-2-0807-0012-4</t>
  </si>
  <si>
    <t>La Guerre n'a pas un visage de femme</t>
  </si>
  <si>
    <t>Les Iconiques</t>
  </si>
  <si>
    <t>978-2-290-26139-2</t>
  </si>
  <si>
    <t>Galia Ackerman</t>
  </si>
  <si>
    <t>La Machine infernale</t>
  </si>
  <si>
    <t>Jean Cocteau</t>
  </si>
  <si>
    <t>Les Classiques pédago</t>
  </si>
  <si>
    <t>978-2-253-00916-0</t>
  </si>
  <si>
    <t>Gérard Lieber</t>
  </si>
  <si>
    <t>La Métamorphose</t>
  </si>
  <si>
    <t>Franz Kafka</t>
  </si>
  <si>
    <t>978-2-0802-7785-5</t>
  </si>
  <si>
    <t>Bernard Lortholary</t>
  </si>
  <si>
    <t>La nouvelle bible de la préparation mentale</t>
  </si>
  <si>
    <t>Christian Target</t>
  </si>
  <si>
    <t>Amphora</t>
  </si>
  <si>
    <t>978-2-75760-589-9</t>
  </si>
  <si>
    <t>La nouvelle bible de la préparation physique</t>
  </si>
  <si>
    <t>Didier Reiss</t>
  </si>
  <si>
    <t>978-2-75760-467-0</t>
  </si>
  <si>
    <t>Georges Cazorla</t>
  </si>
  <si>
    <t>La Nuit de Valognes</t>
  </si>
  <si>
    <t>Eric-Emmanuel Schmitt</t>
  </si>
  <si>
    <t>Magnard</t>
  </si>
  <si>
    <t>Classiques &amp; Contemporains</t>
  </si>
  <si>
    <t>978-2-210-75471-3</t>
  </si>
  <si>
    <t>Pierre Brunel</t>
  </si>
  <si>
    <t>La Peau de chagrin</t>
  </si>
  <si>
    <t>978-2-07-033828-3</t>
  </si>
  <si>
    <t>André Pieyre de Mandiargues</t>
  </si>
  <si>
    <t>La Princesse de Clèves</t>
  </si>
  <si>
    <t>Madame de Lafayette</t>
  </si>
  <si>
    <t>978-2-253-00672-5</t>
  </si>
  <si>
    <t>Philippe Sellier</t>
  </si>
  <si>
    <t>La République</t>
  </si>
  <si>
    <t>978-2-0813-8669-3</t>
  </si>
  <si>
    <t>Georges Leroux</t>
  </si>
  <si>
    <t xml:space="preserve">La Rose publique </t>
  </si>
  <si>
    <t>Paul Eluard</t>
  </si>
  <si>
    <t>978-2-07-030096-9</t>
  </si>
  <si>
    <t>La Sculpture grecque</t>
  </si>
  <si>
    <t>Bernard Holtzmann</t>
  </si>
  <si>
    <t>Références</t>
  </si>
  <si>
    <t>978-2-253-90599-8</t>
  </si>
  <si>
    <t>La Supplication</t>
  </si>
  <si>
    <t>978-2-290-13599-0</t>
  </si>
  <si>
    <t>La Terre entre nos mains</t>
  </si>
  <si>
    <t>Thomas Pesquet</t>
  </si>
  <si>
    <t>ESA</t>
  </si>
  <si>
    <t>978-2-0804-1413-7</t>
  </si>
  <si>
    <t>La Vie d'Esope le Phrygien</t>
  </si>
  <si>
    <t>La Vie heureuse</t>
  </si>
  <si>
    <t>La Vie immédiate</t>
  </si>
  <si>
    <t>L'Affaire Tapner</t>
  </si>
  <si>
    <t>978-2-253-05006-3</t>
  </si>
  <si>
    <t>Guy Rosa</t>
  </si>
  <si>
    <t>Lais</t>
  </si>
  <si>
    <t>Marie de France</t>
  </si>
  <si>
    <t>978-2-07-288456-6</t>
  </si>
  <si>
    <t>Philippe Walter</t>
  </si>
  <si>
    <t>L'Antéchrist</t>
  </si>
  <si>
    <t>978-2-0802-7802-9</t>
  </si>
  <si>
    <t>L'Appel de la forêt</t>
  </si>
  <si>
    <t>978-2-07-284713-4</t>
  </si>
  <si>
    <t>Antoine Cazé</t>
  </si>
  <si>
    <t>L'Architecture grecque</t>
  </si>
  <si>
    <t>Marie-Christine Hellmann</t>
  </si>
  <si>
    <t>978-2-253-90544-8</t>
  </si>
  <si>
    <t>L'Art d'aimer</t>
  </si>
  <si>
    <t>Ovide</t>
  </si>
  <si>
    <t>978-2-07-036532-6</t>
  </si>
  <si>
    <t>Hubert Juin</t>
  </si>
  <si>
    <t>Henri Bornecquue</t>
  </si>
  <si>
    <t>L'Art de la guerre</t>
  </si>
  <si>
    <t>Sun Tzu</t>
  </si>
  <si>
    <t>Chinois</t>
  </si>
  <si>
    <t>Pluriel</t>
  </si>
  <si>
    <t>978-2-818-50496-3</t>
  </si>
  <si>
    <t>Jean Lévi</t>
  </si>
  <si>
    <t>L'Art poétique</t>
  </si>
  <si>
    <t>L'Assemblée des femmes</t>
  </si>
  <si>
    <t>Aristophane</t>
  </si>
  <si>
    <t>978-2-0814-5167-4</t>
  </si>
  <si>
    <t>Marion Bonneau</t>
  </si>
  <si>
    <t>Marc-Jean Alfonsi</t>
  </si>
  <si>
    <t>L'Assomoir</t>
  </si>
  <si>
    <t>978-2-253-00285-7</t>
  </si>
  <si>
    <t>Jacques Dubois</t>
  </si>
  <si>
    <t>L'Avare</t>
  </si>
  <si>
    <t>978-2-07-045002-2</t>
  </si>
  <si>
    <t>Le Banquet</t>
  </si>
  <si>
    <t>978-2-0813-8264-0</t>
  </si>
  <si>
    <t>Le Barbier de Séville</t>
  </si>
  <si>
    <t>Pierre-Augustin de Beaumarchais</t>
  </si>
  <si>
    <t>9786-2-0814-2779-2</t>
  </si>
  <si>
    <t>Jean Goldzink</t>
  </si>
  <si>
    <t>Le Bourgeois gentilhomme</t>
  </si>
  <si>
    <t>978-2-07-045000-8</t>
  </si>
  <si>
    <t>Le Cas Wagner</t>
  </si>
  <si>
    <t>978-2-0814-2157-8</t>
  </si>
  <si>
    <t>Christian Jambet</t>
  </si>
  <si>
    <t>Henri Albert</t>
  </si>
  <si>
    <t>Le Cid</t>
  </si>
  <si>
    <t>978-2-07-040918-1</t>
  </si>
  <si>
    <t>Jean Serroy</t>
  </si>
  <si>
    <t>Le Comte de Monte-Cristo</t>
  </si>
  <si>
    <t>Alexandre Dumas</t>
  </si>
  <si>
    <t>978-2-07-289564-7</t>
  </si>
  <si>
    <t>Jean-Yves Tadié</t>
  </si>
  <si>
    <t>Le Crépuscule des idoles</t>
  </si>
  <si>
    <t>Le Curé de Tours</t>
  </si>
  <si>
    <t>978-2-07-036717-7</t>
  </si>
  <si>
    <t>Anne-Marie Meininger</t>
  </si>
  <si>
    <t>Le dernier jour d'un condamné</t>
  </si>
  <si>
    <t>Le Dictionnaire d'anglais</t>
  </si>
  <si>
    <t>Carine Girac-Marinier</t>
  </si>
  <si>
    <t>Harrap</t>
  </si>
  <si>
    <t>Harrap's Shorter</t>
  </si>
  <si>
    <t>978-2-81-870721-0</t>
  </si>
  <si>
    <t>Le Fou d'Elsa</t>
  </si>
  <si>
    <t>978-2-07-042411-5</t>
  </si>
  <si>
    <t>Le gai savoir</t>
  </si>
  <si>
    <t>978-2-0815-1085-2</t>
  </si>
  <si>
    <t>Patrick Wotling</t>
  </si>
  <si>
    <t>Le Horla</t>
  </si>
  <si>
    <t>978-2-07-040925-9</t>
  </si>
  <si>
    <t>André Fermigier</t>
  </si>
  <si>
    <t>Le Joueur</t>
  </si>
  <si>
    <t>Ruse</t>
  </si>
  <si>
    <t>978-2-07-283647-3</t>
  </si>
  <si>
    <t>Dominique Fernandez</t>
  </si>
  <si>
    <t>Sylvie Luneau</t>
  </si>
  <si>
    <t>Le Joueur d'échecs</t>
  </si>
  <si>
    <t>Stefan Zweig</t>
  </si>
  <si>
    <t>978-2-253-17407-3</t>
  </si>
  <si>
    <t>Gérard Rudent</t>
  </si>
  <si>
    <t>Le Journal d'Anne Frank</t>
  </si>
  <si>
    <t>Anne Frank</t>
  </si>
  <si>
    <t>978-2-253-07309-3</t>
  </si>
  <si>
    <t>Bernd Buddy Elias</t>
  </si>
  <si>
    <t>Isabelle Rosselin</t>
  </si>
  <si>
    <t>Le Livre des symboles</t>
  </si>
  <si>
    <t>ARAS</t>
  </si>
  <si>
    <t>978-3-8365-2574-9</t>
  </si>
  <si>
    <t>Arnaud Briand</t>
  </si>
  <si>
    <t>Le Malade imaginaire</t>
  </si>
  <si>
    <t>978-2-07-291288-7</t>
  </si>
  <si>
    <t>Le Malaise dans la culture</t>
  </si>
  <si>
    <t>Sigmund Freud</t>
  </si>
  <si>
    <t>978-2-0814-9365-0</t>
  </si>
  <si>
    <t>Dorian Astor</t>
  </si>
  <si>
    <t>Le Médecin malgré lui</t>
  </si>
  <si>
    <t>978-2-0802-5938-7</t>
  </si>
  <si>
    <t>Lise Michel</t>
  </si>
  <si>
    <t>Le Misanthrope</t>
  </si>
  <si>
    <t>978-2-0802-6880-8</t>
  </si>
  <si>
    <t>Loïc Marcou</t>
  </si>
  <si>
    <t>Le Parti pris des choses</t>
  </si>
  <si>
    <t>Le Père Goriot</t>
  </si>
  <si>
    <t>Les Classiques de Poche</t>
  </si>
  <si>
    <t>978-2-253-08579-9</t>
  </si>
  <si>
    <t>Stéphane Vachon</t>
  </si>
  <si>
    <t>Le Prince</t>
  </si>
  <si>
    <t>Nicolas Machiavel</t>
  </si>
  <si>
    <t>978-2-0807-0317-0</t>
  </si>
  <si>
    <t>Yves Lévy</t>
  </si>
  <si>
    <t>Le Procès</t>
  </si>
  <si>
    <t>978-2-07-037840-1</t>
  </si>
  <si>
    <t>Claude David</t>
  </si>
  <si>
    <t>Alexandre Vialatte</t>
  </si>
  <si>
    <t>Le Rêve de Bismark</t>
  </si>
  <si>
    <t>Le Rire</t>
  </si>
  <si>
    <t>978-2-0812-7966-7</t>
  </si>
  <si>
    <t>Daniel Grojnowski</t>
  </si>
  <si>
    <t>Le Rouge et le noir</t>
  </si>
  <si>
    <t>Stendhal</t>
  </si>
  <si>
    <t>978-2-253-07749-7</t>
  </si>
  <si>
    <t>Michel Crouzet</t>
  </si>
  <si>
    <t>Le Saint Coran</t>
  </si>
  <si>
    <t>Arabe</t>
  </si>
  <si>
    <t>ALBOURAQ</t>
  </si>
  <si>
    <t>979-1-02-250534-5</t>
  </si>
  <si>
    <t>Le Songe</t>
  </si>
  <si>
    <t>Joachim du Bellay</t>
  </si>
  <si>
    <t>978-2-253-16107-3</t>
  </si>
  <si>
    <t>François Roudaut</t>
  </si>
  <si>
    <t>Le Symbole perdu</t>
  </si>
  <si>
    <t>978-2-253-13417-6</t>
  </si>
  <si>
    <t>Le Tartuffe</t>
  </si>
  <si>
    <t>978-2-07-044994-1</t>
  </si>
  <si>
    <t>Le Tour du monde en quatre-vingts jours</t>
  </si>
  <si>
    <t>Jules Verne</t>
  </si>
  <si>
    <t>Le Ventre de Paris</t>
  </si>
  <si>
    <t>978-2-253-00562-9</t>
  </si>
  <si>
    <t>Robert Abirached</t>
  </si>
  <si>
    <t>L'Ecole des femmes</t>
  </si>
  <si>
    <t>978-2-07-044997-2</t>
  </si>
  <si>
    <t>L'Education sentimentale</t>
  </si>
  <si>
    <t>Gustave Flaubert</t>
  </si>
  <si>
    <t>978-2-253-01069-2</t>
  </si>
  <si>
    <t>Pierre-Marc de Biasi</t>
  </si>
  <si>
    <t>L'Enfant de la haute mer</t>
  </si>
  <si>
    <t>Jules Supervielle</t>
  </si>
  <si>
    <t>978-2-07-036252-3</t>
  </si>
  <si>
    <t>Léonard de Vinci - Tout l'œuvre peint</t>
  </si>
  <si>
    <t>Frank Zöllner</t>
  </si>
  <si>
    <t>978-3-8365-6296-6</t>
  </si>
  <si>
    <t>Les Amours</t>
  </si>
  <si>
    <t>Pierre de Ronsard</t>
  </si>
  <si>
    <t>978-2-253-24020-4</t>
  </si>
  <si>
    <t>Les Antiquités de Rome</t>
  </si>
  <si>
    <t>Les Caractères</t>
  </si>
  <si>
    <t>Jean de La Bruyère</t>
  </si>
  <si>
    <t>978-2-253-01505-5</t>
  </si>
  <si>
    <t>Emmanuel Bury</t>
  </si>
  <si>
    <t>aoüt 2022</t>
  </si>
  <si>
    <t>Les Cavaliers</t>
  </si>
  <si>
    <t>Les Cercueils de zinc</t>
  </si>
  <si>
    <t>978-2-330-14773-0</t>
  </si>
  <si>
    <t>Wladimir Berelowitch</t>
  </si>
  <si>
    <t>Les Châtiments</t>
  </si>
  <si>
    <t>978-2-253-01686-1</t>
  </si>
  <si>
    <t>Jean-Marie Gleize</t>
  </si>
  <si>
    <t>Les Contemplations</t>
  </si>
  <si>
    <t>978-2-07-032050-9</t>
  </si>
  <si>
    <t>Léon-Paul Fargue</t>
  </si>
  <si>
    <t>Les Déserts de l'amour</t>
  </si>
  <si>
    <t>Les Dessous des chefs-d'œuvre</t>
  </si>
  <si>
    <t>Rainer Hagen</t>
  </si>
  <si>
    <t>978-3-8365-5925-6</t>
  </si>
  <si>
    <t>Les fausses confidences</t>
  </si>
  <si>
    <t>978-2-0815-1634-2</t>
  </si>
  <si>
    <t>Catherine Naugrette</t>
  </si>
  <si>
    <t>Les Fleurs du mal</t>
  </si>
  <si>
    <t>978-2-253-00710-4</t>
  </si>
  <si>
    <t>Les Fourberies de Scapin</t>
  </si>
  <si>
    <t>978-2-07-044999-6</t>
  </si>
  <si>
    <t>Les Frères Karamazov</t>
  </si>
  <si>
    <t>978-2-253-06707-8</t>
  </si>
  <si>
    <t>Nicolas Berdiaeff</t>
  </si>
  <si>
    <t>Elisabeth Guertik</t>
  </si>
  <si>
    <t>Les Géorgiques</t>
  </si>
  <si>
    <t>978-2-0802-8293-4</t>
  </si>
  <si>
    <t>Les Immondes</t>
  </si>
  <si>
    <t>Les Liaisons dangereuses</t>
  </si>
  <si>
    <t>Choderlos de Laclos</t>
  </si>
  <si>
    <t>978-2-253-00401-1</t>
  </si>
  <si>
    <t>Michel Delon</t>
  </si>
  <si>
    <t>Les Métamorphoses</t>
  </si>
  <si>
    <t>978-2-07-038564-5</t>
  </si>
  <si>
    <t>Jean-Pierre Néraudau</t>
  </si>
  <si>
    <t>Georges Lafaye</t>
  </si>
  <si>
    <t>Les Misérables</t>
  </si>
  <si>
    <t>978-2-07-273067-2</t>
  </si>
  <si>
    <t>Yves Gohin</t>
  </si>
  <si>
    <t>Les Phéniciennes</t>
  </si>
  <si>
    <t>Les Politiques</t>
  </si>
  <si>
    <t>978-2-0813-5877-5</t>
  </si>
  <si>
    <t>Les Regrets</t>
  </si>
  <si>
    <t>Les Rêveries du promeneur solitaire</t>
  </si>
  <si>
    <t>978-2-0812-7526-3</t>
  </si>
  <si>
    <t>Erik Leborgne</t>
  </si>
  <si>
    <t>Les Satires</t>
  </si>
  <si>
    <t>Les Travaux et les jours</t>
  </si>
  <si>
    <t>Les trois mousquetaires</t>
  </si>
  <si>
    <t>978-2-07-041768-1</t>
  </si>
  <si>
    <t>Roger Nimier</t>
  </si>
  <si>
    <t>Les Troyennes</t>
  </si>
  <si>
    <t>Les Vers du capitaine</t>
  </si>
  <si>
    <t>Pablo Néruda</t>
  </si>
  <si>
    <t>978-2-07-040421-6</t>
  </si>
  <si>
    <t>Claude Couffond</t>
  </si>
  <si>
    <t>Les Voyages de Gulliver</t>
  </si>
  <si>
    <t>Jonathan Swift</t>
  </si>
  <si>
    <t>Irlandais</t>
  </si>
  <si>
    <t>978-2-0813-4243-9</t>
  </si>
  <si>
    <t>Alexis Tadié</t>
  </si>
  <si>
    <t>Guillaume Villeneuve</t>
  </si>
  <si>
    <t>Les Yeux fertiles</t>
  </si>
  <si>
    <t>L'Ethique</t>
  </si>
  <si>
    <t>Baruch Spinoza</t>
  </si>
  <si>
    <t>Néerlandais</t>
  </si>
  <si>
    <t>Folio Essais</t>
  </si>
  <si>
    <t>978-2-07-032829-1</t>
  </si>
  <si>
    <t>Roland Caillois</t>
  </si>
  <si>
    <t>L'Etranger</t>
  </si>
  <si>
    <t>Albert Camus</t>
  </si>
  <si>
    <t>978-2-07-036002-4</t>
  </si>
  <si>
    <t>Lettre à Marcella</t>
  </si>
  <si>
    <t>Porphyre</t>
  </si>
  <si>
    <t>978-2-0814-7826-8</t>
  </si>
  <si>
    <t>Jean-François Pradeau</t>
  </si>
  <si>
    <t>Lettre à Ménécée</t>
  </si>
  <si>
    <t>Epicure</t>
  </si>
  <si>
    <t>978-2-0807-1274-5</t>
  </si>
  <si>
    <t>Pierre-Marie Morel</t>
  </si>
  <si>
    <t>Lettre d'Erasme à Dorpius</t>
  </si>
  <si>
    <t>Lettres de mon moulin</t>
  </si>
  <si>
    <t>Alphonse Daudet</t>
  </si>
  <si>
    <t>978-2-07-040899-3</t>
  </si>
  <si>
    <t>Daniel Bergez</t>
  </si>
  <si>
    <t>Lettres persanes</t>
  </si>
  <si>
    <t>Montesquieu</t>
  </si>
  <si>
    <t>978-2-0814-8972-1</t>
  </si>
  <si>
    <t>Laurence Macé</t>
  </si>
  <si>
    <t>Lettres, maximes</t>
  </si>
  <si>
    <t>978-2-0814-1604-8</t>
  </si>
  <si>
    <t>L'Existentialisme est un humanisme</t>
  </si>
  <si>
    <t>Jean-Paul Sartre</t>
  </si>
  <si>
    <t>978-2-07-032913-7</t>
  </si>
  <si>
    <t>Arlette Elkaïm-Sartre</t>
  </si>
  <si>
    <t>L'Ile au trésor</t>
  </si>
  <si>
    <t>Robert Louis Stevenson</t>
  </si>
  <si>
    <t>Ecossais</t>
  </si>
  <si>
    <t>978-2-253-00368-7</t>
  </si>
  <si>
    <t>André Bay</t>
  </si>
  <si>
    <t>L'Ile des esclaves</t>
  </si>
  <si>
    <t>978-2-0815-1635-9</t>
  </si>
  <si>
    <t>Florence Magnot-Ogilvy</t>
  </si>
  <si>
    <t>L'Ingénu</t>
  </si>
  <si>
    <t>978-2-253-13940-9</t>
  </si>
  <si>
    <t>Edouard Guitton</t>
  </si>
  <si>
    <t>L'insoutenable légèreté de l'être</t>
  </si>
  <si>
    <t>Milan Kundera</t>
  </si>
  <si>
    <t>Tchèque</t>
  </si>
  <si>
    <t>978-2-07-289265-3</t>
  </si>
  <si>
    <t>François Kérel</t>
  </si>
  <si>
    <t>L'Œuvre</t>
  </si>
  <si>
    <t>978-2-07-289544-9</t>
  </si>
  <si>
    <t>Bruno Foucart</t>
  </si>
  <si>
    <t>Lorenzaccio</t>
  </si>
  <si>
    <t>Alfred de Musset</t>
  </si>
  <si>
    <t>978-2-0814-9480-0</t>
  </si>
  <si>
    <t>Macbeth</t>
  </si>
  <si>
    <t>978-2-07-046849-2</t>
  </si>
  <si>
    <t>Madame Bovary</t>
  </si>
  <si>
    <t>978-2-253-18346-4</t>
  </si>
  <si>
    <t>Jacques Neefs</t>
  </si>
  <si>
    <t>Manuel d'Epictète</t>
  </si>
  <si>
    <t>Epictète</t>
  </si>
  <si>
    <t>978-2-0807-0016-2</t>
  </si>
  <si>
    <t>Mario Meunier</t>
  </si>
  <si>
    <t>Maths - MPSI - Tout-en-un</t>
  </si>
  <si>
    <t>Claude Deschamps</t>
  </si>
  <si>
    <t>Dunod</t>
  </si>
  <si>
    <t>Tout-en-un</t>
  </si>
  <si>
    <t>978-2-10-077659-7</t>
  </si>
  <si>
    <t>Médée</t>
  </si>
  <si>
    <t>Méditations métaphysiques</t>
  </si>
  <si>
    <t>978-2-0812-6536-3</t>
  </si>
  <si>
    <t>Pierre-Marie Beyssade</t>
  </si>
  <si>
    <t>Méditations poétiques</t>
  </si>
  <si>
    <t>Michel-Ange - L'œuvre peint, sculpté et architectural complet</t>
  </si>
  <si>
    <t>978-3-8395-3715-6</t>
  </si>
  <si>
    <t>Moby Dick</t>
  </si>
  <si>
    <t>Herman Melville</t>
  </si>
  <si>
    <t>978-2-07-040066-9</t>
  </si>
  <si>
    <t>Jean Giono</t>
  </si>
  <si>
    <t>Monet - Le triomphe de l'impressionnisme</t>
  </si>
  <si>
    <t>Daniel Wildenstein</t>
  </si>
  <si>
    <t>978-3-8365-5100-7</t>
  </si>
  <si>
    <t>Nana</t>
  </si>
  <si>
    <t>978-2-253-00365-6</t>
  </si>
  <si>
    <t>Auguste Dezalay</t>
  </si>
  <si>
    <t>Notre-Dame de Paris</t>
  </si>
  <si>
    <t>978-2-253-00968-9</t>
  </si>
  <si>
    <t>Jacques Seebacher</t>
  </si>
  <si>
    <t>Nouvelles méditations poétiques</t>
  </si>
  <si>
    <t>Odes</t>
  </si>
  <si>
    <t>978-2-07-042042-6</t>
  </si>
  <si>
    <t>Claude-André Tabart</t>
  </si>
  <si>
    <t>Odes politiques</t>
  </si>
  <si>
    <t>Odyssée</t>
  </si>
  <si>
    <t>978-2-0813-9743-9</t>
  </si>
  <si>
    <t>Médéric Dufour</t>
  </si>
  <si>
    <t>Œdipe</t>
  </si>
  <si>
    <t>Œdipe roi</t>
  </si>
  <si>
    <t>978-2-07-046621-4</t>
  </si>
  <si>
    <t>Jean Grosjean</t>
  </si>
  <si>
    <t>On n'y voit rien</t>
  </si>
  <si>
    <t>Daniel Arasse</t>
  </si>
  <si>
    <t>Folio essais</t>
  </si>
  <si>
    <t>978-2-07-042764-2</t>
  </si>
  <si>
    <t>Origine</t>
  </si>
  <si>
    <t>978-2-7096-5980-2</t>
  </si>
  <si>
    <t>Pantagruel</t>
  </si>
  <si>
    <t>978-2-07-036387-2</t>
  </si>
  <si>
    <t>Pierre Michel</t>
  </si>
  <si>
    <t>Par-delà bien et mal</t>
  </si>
  <si>
    <t>978-2-07-032430-9</t>
  </si>
  <si>
    <t>Cornélius Heim</t>
  </si>
  <si>
    <t>Paroles</t>
  </si>
  <si>
    <t>Jacques Prévert</t>
  </si>
  <si>
    <t>978-2-07-036762-7</t>
  </si>
  <si>
    <t>Pauline</t>
  </si>
  <si>
    <t>978-2-07-041230-3</t>
  </si>
  <si>
    <t>Anne-Marie Callet-Bianco</t>
  </si>
  <si>
    <t>Pensées</t>
  </si>
  <si>
    <t>Blaise Pascal</t>
  </si>
  <si>
    <t>978-2-0813-6665-7</t>
  </si>
  <si>
    <t>Dominique Descotes</t>
  </si>
  <si>
    <t>Pensées pour moi-même</t>
  </si>
  <si>
    <t>Marc Aurèle</t>
  </si>
  <si>
    <t>Phèdre</t>
  </si>
  <si>
    <t>978-2-0815-1334-1</t>
  </si>
  <si>
    <t>Phénoménologie de l'esprit</t>
  </si>
  <si>
    <t>Georg Hegel</t>
  </si>
  <si>
    <t>978-2-0812-5622-4</t>
  </si>
  <si>
    <t>Jean-Pierre Lefebvre</t>
  </si>
  <si>
    <t>Physique</t>
  </si>
  <si>
    <t>978-2-0807-0887-8</t>
  </si>
  <si>
    <t>Physique - 1ère année - MPSI-PTSI</t>
  </si>
  <si>
    <t>David Augier</t>
  </si>
  <si>
    <t>978-2-7430-1511-4</t>
  </si>
  <si>
    <t>Pierre et Jean</t>
  </si>
  <si>
    <t>978-2-08-041085-9</t>
  </si>
  <si>
    <t>Bernard Pingaud</t>
  </si>
  <si>
    <t>Pierrette</t>
  </si>
  <si>
    <t>Poèmes de l'album Zutique</t>
  </si>
  <si>
    <t>Poèmes saturniens</t>
  </si>
  <si>
    <t>Paul Verlaine</t>
  </si>
  <si>
    <t>978-2-253-09830-0</t>
  </si>
  <si>
    <t>Martine Bercot</t>
  </si>
  <si>
    <t>Poésies</t>
  </si>
  <si>
    <t>Poétique</t>
  </si>
  <si>
    <t>978-2-0807-1229-5</t>
  </si>
  <si>
    <t>Pierre Destrée</t>
  </si>
  <si>
    <t>Premiers textes</t>
  </si>
  <si>
    <t>Proêmes</t>
  </si>
  <si>
    <t>Proses évangéliques</t>
  </si>
  <si>
    <t>Recueil Demeny</t>
  </si>
  <si>
    <t>Renoir</t>
  </si>
  <si>
    <t>Gilles Néret</t>
  </si>
  <si>
    <t>978-3-8365-9208-6</t>
  </si>
  <si>
    <t>Rhétorique</t>
  </si>
  <si>
    <t>978-2-0807-1135-9</t>
  </si>
  <si>
    <t>Pierre Chiron</t>
  </si>
  <si>
    <t>Rhinocéros</t>
  </si>
  <si>
    <t>Eugène Ionesco</t>
  </si>
  <si>
    <t>978-2-07-036816-7</t>
  </si>
  <si>
    <t>Rimes</t>
  </si>
  <si>
    <t>978-2-0802-3889-4</t>
  </si>
  <si>
    <t>Risibles amours</t>
  </si>
  <si>
    <t>978-2-07-289270-7</t>
  </si>
  <si>
    <t>Robinson Crusoé</t>
  </si>
  <si>
    <t>Daniel Defoe</t>
  </si>
  <si>
    <t>978-2-07-041822-0</t>
  </si>
  <si>
    <t>Michel Baridon</t>
  </si>
  <si>
    <t>Pétrus Borel</t>
  </si>
  <si>
    <t>Romances sans paroles</t>
  </si>
  <si>
    <t>978-2-0814-2781-5</t>
  </si>
  <si>
    <t>Arnaud Bernadet</t>
  </si>
  <si>
    <t>Roméo et Juliette</t>
  </si>
  <si>
    <t>978-2-07-046848-5</t>
  </si>
  <si>
    <t>Ruy Blas</t>
  </si>
  <si>
    <t>978-2-0813-9063-8</t>
  </si>
  <si>
    <t>Sylvain Ledda</t>
  </si>
  <si>
    <t>Salem</t>
  </si>
  <si>
    <t>978-2-253-12499-3</t>
  </si>
  <si>
    <t>Sentences vaticanes</t>
  </si>
  <si>
    <t>Shining</t>
  </si>
  <si>
    <t>978-2-253-15162-3</t>
  </si>
  <si>
    <t>Joan Bernard</t>
  </si>
  <si>
    <t>Simetierre</t>
  </si>
  <si>
    <t>978-2-253-15143-2</t>
  </si>
  <si>
    <t>François Lasquin</t>
  </si>
  <si>
    <t>Son Excellence Eugène Rougon</t>
  </si>
  <si>
    <t>978-2-253-00628-2</t>
  </si>
  <si>
    <t>Philippe Hamon</t>
  </si>
  <si>
    <t>Super Bowl : 51 ans de légende</t>
  </si>
  <si>
    <t>978-2-9552918-2-5</t>
  </si>
  <si>
    <t>Sur la religion</t>
  </si>
  <si>
    <t>Arthur Schopenhauer</t>
  </si>
  <si>
    <t>978-2-0802-3550-3</t>
  </si>
  <si>
    <t>Etienne Osier</t>
  </si>
  <si>
    <t>Sur le rêve</t>
  </si>
  <si>
    <t>978-2-07-032554-2</t>
  </si>
  <si>
    <t>Didier Anzieu</t>
  </si>
  <si>
    <t>Tanakh</t>
  </si>
  <si>
    <t>Hébreu</t>
  </si>
  <si>
    <t>979-8-38-916627-1</t>
  </si>
  <si>
    <t>Théogonie</t>
  </si>
  <si>
    <t>Théorie de l'art moderne</t>
  </si>
  <si>
    <t>Paul Klee</t>
  </si>
  <si>
    <t>978-2-07-032697-6</t>
  </si>
  <si>
    <t>Pierre-Henri Gonthier</t>
  </si>
  <si>
    <t>Thyeste</t>
  </si>
  <si>
    <t>Timée</t>
  </si>
  <si>
    <t>Tragédies complètes</t>
  </si>
  <si>
    <t>Traité du ciel</t>
  </si>
  <si>
    <t>gallimard</t>
  </si>
  <si>
    <t>978-2-0807-1036-9</t>
  </si>
  <si>
    <t>Un Cœur sous une soutane</t>
  </si>
  <si>
    <t>Une Saison en enfer</t>
  </si>
  <si>
    <t>Une Vie</t>
  </si>
  <si>
    <t>978-2-07-041084-2</t>
  </si>
  <si>
    <t>Van Gogh - L'œuvre complet, peinture</t>
  </si>
  <si>
    <t>Rainer Metzger</t>
  </si>
  <si>
    <t>978-3-8365-5714-6</t>
  </si>
  <si>
    <t>Françoise Laugier-Morun</t>
  </si>
  <si>
    <t>Vermeer - L'œuvre complet</t>
  </si>
  <si>
    <t>Karl Schütz</t>
  </si>
  <si>
    <t>978-3-8365-9315-1</t>
  </si>
  <si>
    <t>Vers nouveaux</t>
  </si>
  <si>
    <t>Vie de Pytagore</t>
  </si>
  <si>
    <t>Vie d'Esope</t>
  </si>
  <si>
    <t>Xanthos</t>
  </si>
  <si>
    <t>Vingt poèmes d'amour et une chanson désespérée</t>
  </si>
  <si>
    <t>Vita Nova</t>
  </si>
  <si>
    <t>978-2-07-032140-7</t>
  </si>
  <si>
    <t>Louis-Paul Guigues</t>
  </si>
  <si>
    <t>Voyage avec un âne dans les Cévennes</t>
  </si>
  <si>
    <t>978-2-0814-1206-4</t>
  </si>
  <si>
    <t>Gilles Lapouge</t>
  </si>
  <si>
    <t>Léon Bocquet</t>
  </si>
  <si>
    <t>Yard après yard : voyage à travers un siècle de NFL</t>
  </si>
  <si>
    <t>Marco Belloni</t>
  </si>
  <si>
    <t>978-2-9552918-6-3</t>
  </si>
  <si>
    <t>Zazie dans le métro</t>
  </si>
  <si>
    <t>978-2-07-036103-8</t>
  </si>
  <si>
    <t>Numéro</t>
  </si>
  <si>
    <t>Date</t>
  </si>
  <si>
    <t>Longueur</t>
  </si>
  <si>
    <t>Pages</t>
  </si>
  <si>
    <t>Principal</t>
  </si>
  <si>
    <t>Rachat</t>
  </si>
  <si>
    <t>F9</t>
  </si>
  <si>
    <t>F8</t>
  </si>
  <si>
    <t>Cat 6</t>
  </si>
  <si>
    <t>F6</t>
  </si>
  <si>
    <t>F7b</t>
  </si>
  <si>
    <t>F15</t>
  </si>
  <si>
    <t>F3a</t>
  </si>
  <si>
    <t>Tristan et Iseult</t>
  </si>
  <si>
    <t>Béroul</t>
  </si>
  <si>
    <t>978-2-253-00436-3</t>
  </si>
  <si>
    <t>René Louis</t>
  </si>
  <si>
    <t>F11</t>
  </si>
  <si>
    <t>F10</t>
  </si>
  <si>
    <t>F12</t>
  </si>
  <si>
    <t>Cinna</t>
  </si>
  <si>
    <t>978-2-07-031863-6</t>
  </si>
  <si>
    <t>Cat 7</t>
  </si>
  <si>
    <t>978-2-0814-1595-9</t>
  </si>
  <si>
    <t>Boris Donné</t>
  </si>
  <si>
    <t>F7</t>
  </si>
  <si>
    <t>Cat 5</t>
  </si>
  <si>
    <t>F4b</t>
  </si>
  <si>
    <t>F3b</t>
  </si>
  <si>
    <t>Carmen</t>
  </si>
  <si>
    <t>Prosper Mérimée</t>
  </si>
  <si>
    <t>978-2-253-24021-1</t>
  </si>
  <si>
    <t>Jean Balsamo</t>
  </si>
  <si>
    <t>Poèmes</t>
  </si>
  <si>
    <t>Emily Jane Brontë</t>
  </si>
  <si>
    <t>978-2-07-040937-2</t>
  </si>
  <si>
    <t>Pierre Leyris</t>
  </si>
  <si>
    <t>Les Paradis artificiels</t>
  </si>
  <si>
    <t>978-2-253-01438-6</t>
  </si>
  <si>
    <t>Cinq semaines en ballon</t>
  </si>
  <si>
    <t>978-2-07-272217-2</t>
  </si>
  <si>
    <t>William Butcher</t>
  </si>
  <si>
    <t>Voyage au centre de la terre</t>
  </si>
  <si>
    <t>978-2-07-300112-2</t>
  </si>
  <si>
    <t>F3</t>
  </si>
  <si>
    <t>978-2-07-035775-8</t>
  </si>
  <si>
    <t>F4</t>
  </si>
  <si>
    <t>F5</t>
  </si>
  <si>
    <t>Œuvres complètes</t>
  </si>
  <si>
    <t/>
  </si>
  <si>
    <t>Cat 2</t>
  </si>
  <si>
    <t>Pour qui sonne le glas</t>
  </si>
  <si>
    <t>Ernest Hemingway</t>
  </si>
  <si>
    <t>978-2-07-272993-5</t>
  </si>
  <si>
    <t>Denise Van Moppès</t>
  </si>
  <si>
    <t>Cat 1</t>
  </si>
  <si>
    <t>Tom-Tom et Nana - Tome 1 : Et l'impossible Nana</t>
  </si>
  <si>
    <t>Jacqueline Cohen</t>
  </si>
  <si>
    <t>Bande dessinnée</t>
  </si>
  <si>
    <t>Bayard Jeunesse</t>
  </si>
  <si>
    <t>978-2-7470-1379-6</t>
  </si>
  <si>
    <t>Tom-Tom et Nana - Tome 2 : Et ses idées explosives</t>
  </si>
  <si>
    <t>978-2-7470-1380-2</t>
  </si>
  <si>
    <t>Tom-Tom et Nana - Tome 3 : Le roi de la tambouille</t>
  </si>
  <si>
    <t>978-2-7470-1381-9</t>
  </si>
  <si>
    <t>Tom-Tom et Nana - Tome 4 : Les cartables décollent</t>
  </si>
  <si>
    <t>978-2-7470-1382-6</t>
  </si>
  <si>
    <t>Tom-Tom et Nana - Tome 5 : Les vacances infernales</t>
  </si>
  <si>
    <t>978-2-7470-1383-3</t>
  </si>
  <si>
    <t>Tom-Tom et Nana - Tome 6 : Bande de sauvages !</t>
  </si>
  <si>
    <t>978-2-7470-1384-0</t>
  </si>
  <si>
    <t>Tom-Tom et Nana - Tome 7 : Drôle de cirque !</t>
  </si>
  <si>
    <t>978-2-7470-1385-7</t>
  </si>
  <si>
    <t>Tom-Tom et Nana - Tome 8 : Les deux terreurs</t>
  </si>
  <si>
    <t>978-2-7470-1386-4</t>
  </si>
  <si>
    <t>Tom-Tom et Nana - Tome 9 : Les fous du mercredi</t>
  </si>
  <si>
    <t>978-2-7470-1387-1</t>
  </si>
  <si>
    <t>Tom-Tom et Nana - Tome 10 : Les premiers de la casse</t>
  </si>
  <si>
    <t>978-2-7470-1388-8</t>
  </si>
  <si>
    <t>Tom-Tom et Nana - Tome 11 : Ici radio-casserole</t>
  </si>
  <si>
    <t>978-2-7470-1389-5</t>
  </si>
  <si>
    <t>Tom-Tom et Nana - Tome 12 : Et que ça saute !</t>
  </si>
  <si>
    <t>978-2-7470-1390-1</t>
  </si>
  <si>
    <t>Tom-Tom et Nana - Tome 13 : Bonjour les cadeaux !</t>
  </si>
  <si>
    <t>978-2-7470-1391-8</t>
  </si>
  <si>
    <t>Tom-Tom et Nana - Tome 14 : La tribu des affreux</t>
  </si>
  <si>
    <t>978-2-7470-1392-5</t>
  </si>
  <si>
    <t>Tom-Tom et Nana - Tome 15 : Ca va chauffer !</t>
  </si>
  <si>
    <t>978-2-7470-1393-2</t>
  </si>
  <si>
    <t>Tom-Tom et Nana - Tome 16 : Abracada... Boum !</t>
  </si>
  <si>
    <t>978-2-7470-1394-9</t>
  </si>
  <si>
    <t>Les Aventures de Tintin - Le secret de la licorne</t>
  </si>
  <si>
    <t>Hergé</t>
  </si>
  <si>
    <t>Casterman</t>
  </si>
  <si>
    <t>978-2-203-04766-2</t>
  </si>
  <si>
    <t>Les Aventures de Tintin - Le trésor de Rackham le rouge</t>
  </si>
  <si>
    <t>Tom-Tom et Nana - Tome 17 : Allez, les monstres !</t>
  </si>
  <si>
    <t>978-2-7470-1395-6</t>
  </si>
  <si>
    <t>Tom-Tom et Nana - Tome 18 : Salut, les zinzins !</t>
  </si>
  <si>
    <t>978-2-7470-1396-3</t>
  </si>
  <si>
    <t>Tom-Tom et Nana - Tome 19 : Bienvenue au club !</t>
  </si>
  <si>
    <t>978-2-7470-1397-0</t>
  </si>
  <si>
    <t>Tom-Tom et Nana - Tome 20 : Poux, papous et pas papous</t>
  </si>
  <si>
    <t>978-2-7470-1398-7</t>
  </si>
  <si>
    <t>Tom-Tom et Nana - Tome 21 : C'est magique !</t>
  </si>
  <si>
    <t>978-2-7470-1399-4</t>
  </si>
  <si>
    <t>Tom-Tom et Nana - Tome 22 : Superstars</t>
  </si>
  <si>
    <t>978-2-7470-1400-7</t>
  </si>
  <si>
    <t>Tom-Tom et Nana - Tome 23 : Dégâts à gogo !</t>
  </si>
  <si>
    <t>978-2-7470-1401-4</t>
  </si>
  <si>
    <t>Tom-Tom et Nana - Tome 24 : Au zoo, les zozos !</t>
  </si>
  <si>
    <t>978-2-7470-1402-1</t>
  </si>
  <si>
    <t>Tom-Tom et Nana - Tome 25 : Les mabouls déboulent !</t>
  </si>
  <si>
    <t>978-2-7470-1403-8</t>
  </si>
  <si>
    <t>Tom-Tom et Nana - Tome 26 : Tremblez, carcasses !</t>
  </si>
  <si>
    <t>978-2-7470-1404-5</t>
  </si>
  <si>
    <t>Les Chatons savants petits physiciens</t>
  </si>
  <si>
    <t>Russell Stannard</t>
  </si>
  <si>
    <t>Album jeunesse</t>
  </si>
  <si>
    <t>Soline</t>
  </si>
  <si>
    <t>978-2-87677-455-3</t>
  </si>
  <si>
    <t>Christine Bollard</t>
  </si>
  <si>
    <t>Tom-Tom et Nana - Tome 27 : Trop, c'est trop !</t>
  </si>
  <si>
    <t>978-2-7470-1405-2</t>
  </si>
  <si>
    <t>Tom-Tom et Nana - Tome 28 : A l'attaque !</t>
  </si>
  <si>
    <t>978-2-7470-1406-9</t>
  </si>
  <si>
    <t>Tom-Tom et Nana - Tome 29 : Toujours plus fort !</t>
  </si>
  <si>
    <t>978-2-7470-1407-6</t>
  </si>
  <si>
    <t>Tom-Tom et Nana - Tome 30 : La salsa des saucisses</t>
  </si>
  <si>
    <t>978-2-7470-1408-3</t>
  </si>
  <si>
    <t>Histoire de peintures</t>
  </si>
  <si>
    <t>978-2-07-032081-3</t>
  </si>
  <si>
    <t>Catherine Bédard</t>
  </si>
  <si>
    <t>Tom-Tom et Nana - Tome 31 : Ca roule !</t>
  </si>
  <si>
    <t>978-2-7470-1274-4</t>
  </si>
  <si>
    <t>Tom-Tom et Nana - Tome 32 : Subliiiimes !</t>
  </si>
  <si>
    <t>978-2-7470-1494-6</t>
  </si>
  <si>
    <t>Les p'tits diables - Tome 1 : De quelle planète tu viens ?</t>
  </si>
  <si>
    <t>Olivier Dutto</t>
  </si>
  <si>
    <t>Soleil</t>
  </si>
  <si>
    <t>978-2-84565-804-4</t>
  </si>
  <si>
    <t>Les p'tits diables - Tome 2 : C'est pas nous !</t>
  </si>
  <si>
    <t>978-2-84565-825-7</t>
  </si>
  <si>
    <t>Les Blagues de Toto - Tome 1 : L'école des vannes</t>
  </si>
  <si>
    <t>Thierry Coppée</t>
  </si>
  <si>
    <t>Delcourt</t>
  </si>
  <si>
    <t>978-2-84789-174-4</t>
  </si>
  <si>
    <t>Les Blagues de Toto - Tome 2 : La rentrée des crasses</t>
  </si>
  <si>
    <t>978-2-84789-513-1</t>
  </si>
  <si>
    <t>Les p'tits diables - Tome 3 - In-fer-naux !</t>
  </si>
  <si>
    <t>978-2-84946-088-7</t>
  </si>
  <si>
    <t>Les Blagues de Toto - Tome 3 : Sous les cahiers, la plage</t>
  </si>
  <si>
    <t>978-2-84789-778-4</t>
  </si>
  <si>
    <t>Les Blagues de Toto - Tome 4 : Tueur à gags</t>
  </si>
  <si>
    <t>978-2-7560-0146-3</t>
  </si>
  <si>
    <t>Où</t>
  </si>
  <si>
    <t>Séverin Millet</t>
  </si>
  <si>
    <t>Seuil jeunesse</t>
  </si>
  <si>
    <t>978-2-02-096286-5</t>
  </si>
  <si>
    <t>Les Blagues de Toto - Tome 5 : Le maître blagueur</t>
  </si>
  <si>
    <t>978-2-7560-0568-3</t>
  </si>
  <si>
    <t>Les Blagues de Toto - Tome 6 : L'as des pitres</t>
  </si>
  <si>
    <t>978-2-7560-1174-5</t>
  </si>
  <si>
    <t>Les Blagues de Toto - Tome 7 : La classe qui rit</t>
  </si>
  <si>
    <t>978-2-7560-1175-2</t>
  </si>
  <si>
    <t>Les Simpsons - Tome 6 : Trop forts !</t>
  </si>
  <si>
    <t>Matt Groening</t>
  </si>
  <si>
    <t>Jungle</t>
  </si>
  <si>
    <t>978-2-874-42656-8</t>
  </si>
  <si>
    <t>3 600 secondes</t>
  </si>
  <si>
    <t>Ronan Badel</t>
  </si>
  <si>
    <t>Autrement</t>
  </si>
  <si>
    <t>978-2-7467-1378-9</t>
  </si>
  <si>
    <t>Les Blagues de Toto - Tome 8 : L'élève dépasse le mètre</t>
  </si>
  <si>
    <t>978-2-7560-1590-3</t>
  </si>
  <si>
    <t>Les Simpsons - Tome 11 : Cirque en folie</t>
  </si>
  <si>
    <t>978-2-874-42745-9</t>
  </si>
  <si>
    <t>Marsupilami - Tome 25 : Sur la piste du marsupilami</t>
  </si>
  <si>
    <t>Colman</t>
  </si>
  <si>
    <t>Marsu Productions</t>
  </si>
  <si>
    <t>978-2-35426-071-2</t>
  </si>
  <si>
    <t>Les Blagues de Toto - Tome 9 : Le sot à ski</t>
  </si>
  <si>
    <t>978-2-7560-1995-6</t>
  </si>
  <si>
    <t>Les Blagues de Toto - Tome 10 : L'histoire drôle</t>
  </si>
  <si>
    <t>978-2-7560-2795-1</t>
  </si>
  <si>
    <t>Les p'tits diables - Tome 18 : On est tous sœurs</t>
  </si>
  <si>
    <t>978-2-302-04284-1</t>
  </si>
  <si>
    <t>Merci</t>
  </si>
  <si>
    <t>Zidrou</t>
  </si>
  <si>
    <t>Grand angle</t>
  </si>
  <si>
    <t>978-2-8189-3215-5</t>
  </si>
  <si>
    <t>Frida Kahlo</t>
  </si>
  <si>
    <t>Lui-Martín Lozano</t>
  </si>
  <si>
    <t>978-3-8365-9484-4</t>
  </si>
  <si>
    <t>Agnès Philippart</t>
  </si>
  <si>
    <t>Titeuf - Tome 5 : Et le derrière des choses</t>
  </si>
  <si>
    <t>Zep</t>
  </si>
  <si>
    <t>Glénat</t>
  </si>
  <si>
    <t>978-2-7234-2136-2</t>
  </si>
  <si>
    <t>L'Elève Ducobu - Tome 9 : Le fortiche de la triche</t>
  </si>
  <si>
    <t>Godi</t>
  </si>
  <si>
    <t>Le lombard</t>
  </si>
  <si>
    <t>978-2-8036-3602-0</t>
  </si>
  <si>
    <t>Lucas trouve un copain</t>
  </si>
  <si>
    <t>Julia Boehme</t>
  </si>
  <si>
    <t>Bois perché</t>
  </si>
  <si>
    <t>978-3-8339-0538-4</t>
  </si>
  <si>
    <t>Claire Teyras</t>
  </si>
  <si>
    <t>Motordu et Rikikie</t>
  </si>
  <si>
    <t>Pef</t>
  </si>
  <si>
    <t>978-2-07-062930-5</t>
  </si>
  <si>
    <t>Sept histoires de souris</t>
  </si>
  <si>
    <t>Arnold Lobel</t>
  </si>
  <si>
    <t>L'école des loisirs</t>
  </si>
  <si>
    <t>Animax</t>
  </si>
  <si>
    <t>978-2-211-20207-7</t>
  </si>
  <si>
    <t>Adolphe Chagot</t>
  </si>
  <si>
    <t>Crabouillabaisse</t>
  </si>
  <si>
    <t>Christina Buley-Uribe</t>
  </si>
  <si>
    <t>978-2-211-08448-2</t>
  </si>
  <si>
    <t>Mais... Tu marches !</t>
  </si>
  <si>
    <t>Armelle Modéré</t>
  </si>
  <si>
    <t>978-2-211-07672-2</t>
  </si>
  <si>
    <t>Petit Georges</t>
  </si>
  <si>
    <t>Raphaël Fejtö</t>
  </si>
  <si>
    <t>978-2-211-07670-8</t>
  </si>
  <si>
    <t>Compte les moutons !</t>
  </si>
  <si>
    <t>Mireille d'Allancé</t>
  </si>
  <si>
    <t>978-2-211-05353-X</t>
  </si>
  <si>
    <t>Grand</t>
  </si>
  <si>
    <t>Jez Alborough</t>
  </si>
  <si>
    <t>978-2-211-08428-4</t>
  </si>
  <si>
    <t>Anton et les filles</t>
  </si>
  <si>
    <t>Ole Könnecke</t>
  </si>
  <si>
    <t>978-2-211-08442-0</t>
  </si>
  <si>
    <t>Florence Seyvos</t>
  </si>
  <si>
    <t>Vous êtes tous mes préférés</t>
  </si>
  <si>
    <t>Sam McBratney</t>
  </si>
  <si>
    <t>978-2-211-08035-4</t>
  </si>
  <si>
    <t>Claude Lager</t>
  </si>
  <si>
    <t>Casse-tout</t>
  </si>
  <si>
    <t>Yvan Pommaux</t>
  </si>
  <si>
    <t>978-2-211-20211-4</t>
  </si>
  <si>
    <t>Mon chat, mon petit chat</t>
  </si>
  <si>
    <t>Stephanie Blake</t>
  </si>
  <si>
    <t>978-2-211-08038-5</t>
  </si>
  <si>
    <t>Foufours et Ouakari</t>
  </si>
  <si>
    <t>Gérald Stehr</t>
  </si>
  <si>
    <t>978-2-211-08459-8</t>
  </si>
  <si>
    <t>Au loup !</t>
  </si>
  <si>
    <t>978-2-211-08432-1</t>
  </si>
  <si>
    <t>Une ferme</t>
  </si>
  <si>
    <t>Philippe Dumas</t>
  </si>
  <si>
    <t>978-2-211-20209-1</t>
  </si>
  <si>
    <t>1, 2, 3 petits chats qui savaient compter jusqu'à 3</t>
  </si>
  <si>
    <t>Michel Van Zeveren</t>
  </si>
  <si>
    <t>978-2-211-08032-4</t>
  </si>
  <si>
    <t>Labin bisous</t>
  </si>
  <si>
    <t>Emile Jadoul</t>
  </si>
  <si>
    <t>978-2-211-08430-7</t>
  </si>
  <si>
    <t>Juste un petit bout !</t>
  </si>
  <si>
    <t>978-2-211-08037-5</t>
  </si>
  <si>
    <t>Mon petit crocodile</t>
  </si>
  <si>
    <t>Jean-Luc Englebert</t>
  </si>
  <si>
    <t>978-2-211-08040-8</t>
  </si>
  <si>
    <t>Physique - PC PC* - Le cours complet</t>
  </si>
  <si>
    <t>Stéphane Olivier</t>
  </si>
  <si>
    <t>978-2-7430-1580-0</t>
  </si>
  <si>
    <t>La Philosophie de A à Z</t>
  </si>
  <si>
    <t>Laurence Hansen-Love</t>
  </si>
  <si>
    <t>Hatier</t>
  </si>
  <si>
    <t>978-2-218-94735-3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</si>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</sst>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\&amp;&quot;❤️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/>
      <diagonal/>
    </border>
    <border>
      <left style="dashed">
        <color auto="1"/>
      </left>
      <right/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/>
      <diagonal/>
    </border>
    <border>
      <left style="dashed">
        <color auto="1"/>
      </left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thick">
        <color auto="1"/>
      </top>
      <bottom style="dashed">
        <color auto="1"/>
      </bottom>
      <diagonal/>
    </border>
    <border>
      <left style="hair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/>
      <bottom style="thick">
        <color auto="1"/>
      </bottom>
      <diagonal/>
    </border>
    <border>
      <left style="dashed">
        <color auto="1"/>
      </left>
      <right style="dashed">
        <color auto="1"/>
      </right>
      <top/>
      <bottom style="thick">
        <color auto="1"/>
      </bottom>
      <diagonal/>
    </border>
    <border>
      <left style="dashed">
        <color auto="1"/>
      </left>
      <right/>
      <top/>
      <bottom style="thick">
        <color auto="1"/>
      </bottom>
      <diagonal/>
    </border>
    <border>
      <left style="dashed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dashed">
        <color auto="1"/>
      </right>
      <top/>
      <bottom style="thick">
        <color auto="1"/>
      </bottom>
      <diagonal/>
    </border>
    <border>
      <left/>
      <right style="dashed">
        <color auto="1"/>
      </right>
      <top/>
      <bottom style="thick">
        <color auto="1"/>
      </bottom>
      <diagonal/>
    </border>
    <border>
      <left style="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dashed">
        <color auto="1"/>
      </right>
      <top style="thick">
        <color auto="1"/>
      </top>
      <bottom/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 style="thick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0" fillId="0" borderId="7" xfId="0" quotePrefix="1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0" fillId="0" borderId="6" xfId="0" applyNumberFormat="1" applyBorder="1" applyAlignment="1">
      <alignment horizontal="center" vertical="center"/>
    </xf>
    <xf numFmtId="0" fontId="0" fillId="0" borderId="4" xfId="0" applyBorder="1"/>
    <xf numFmtId="17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11" xfId="1" applyNumberFormat="1" applyFont="1" applyBorder="1" applyAlignment="1">
      <alignment horizontal="center" vertical="center"/>
    </xf>
    <xf numFmtId="3" fontId="3" fillId="0" borderId="12" xfId="1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5" fontId="0" fillId="0" borderId="22" xfId="0" applyNumberForma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6" xfId="0" applyBorder="1"/>
    <xf numFmtId="0" fontId="4" fillId="0" borderId="4" xfId="0" applyFont="1" applyBorder="1" applyAlignment="1">
      <alignment horizontal="center" vertical="center"/>
    </xf>
    <xf numFmtId="0" fontId="0" fillId="0" borderId="2" xfId="0" applyBorder="1"/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29" xfId="1" applyNumberFormat="1" applyFont="1" applyBorder="1" applyAlignment="1">
      <alignment horizontal="center" vertical="center"/>
    </xf>
    <xf numFmtId="3" fontId="0" fillId="0" borderId="30" xfId="1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3" fontId="0" fillId="0" borderId="34" xfId="1" applyNumberFormat="1" applyFont="1" applyBorder="1" applyAlignment="1">
      <alignment horizontal="center" vertical="center"/>
    </xf>
    <xf numFmtId="3" fontId="0" fillId="0" borderId="35" xfId="1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0" borderId="22" xfId="0" quotePrefix="1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17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5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5" xfId="0" applyBorder="1"/>
    <xf numFmtId="0" fontId="4" fillId="0" borderId="19" xfId="0" applyFont="1" applyBorder="1" applyAlignment="1">
      <alignment horizontal="center" vertical="center"/>
    </xf>
    <xf numFmtId="15" fontId="0" fillId="0" borderId="33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221"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theme="0" tint="-0.14996795556505021"/>
        </patternFill>
      </fill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5"/>
  <sheetViews>
    <sheetView tabSelected="1" zoomScale="65" zoomScaleNormal="115" workbookViewId="0">
      <selection activeCell="E5" sqref="E5"/>
    </sheetView>
  </sheetViews>
  <sheetFormatPr baseColWidth="10" defaultColWidth="10.77734375" defaultRowHeight="15.6" thickTop="1" thickBottom="1" x14ac:dyDescent="0.35"/>
  <cols>
    <col min="1" max="1" width="61.77734375" style="3" customWidth="1"/>
    <col min="2" max="2" width="28" style="4" bestFit="1" customWidth="1"/>
    <col min="3" max="3" width="20.88671875" style="4" customWidth="1"/>
    <col min="4" max="5" width="20.88671875" style="5" customWidth="1"/>
    <col min="6" max="6" width="13.6640625" style="6" bestFit="1" customWidth="1"/>
    <col min="7" max="7" width="13.33203125" style="7" bestFit="1" customWidth="1"/>
    <col min="8" max="8" width="20.6640625" style="8" customWidth="1"/>
    <col min="9" max="9" width="20.6640625" style="2" customWidth="1"/>
    <col min="10" max="10" width="25.109375" style="9" bestFit="1" customWidth="1"/>
    <col min="11" max="11" width="20.6640625" style="4" customWidth="1"/>
    <col min="12" max="12" width="25.77734375" style="4" bestFit="1" customWidth="1"/>
    <col min="13" max="13" width="22.33203125" style="4" bestFit="1" customWidth="1"/>
    <col min="14" max="14" width="10.77734375" style="5" bestFit="1"/>
    <col min="15" max="15" width="12.21875" style="5" customWidth="1"/>
    <col min="16" max="16" width="11.6640625" style="5" customWidth="1"/>
    <col min="17" max="18" width="10.77734375" style="16"/>
    <col min="19" max="19" width="10.77734375" style="11"/>
    <col min="20" max="26" width="10.77734375" style="1"/>
  </cols>
  <sheetData>
    <row r="1" spans="1:26" s="20" customFormat="1" ht="15" customHeight="1" thickTop="1" thickBot="1" x14ac:dyDescent="0.35">
      <c r="A1" s="25" t="s">
        <v>0</v>
      </c>
      <c r="B1" s="21" t="s">
        <v>1</v>
      </c>
      <c r="C1" s="21" t="s">
        <v>980</v>
      </c>
      <c r="D1" s="21" t="s">
        <v>2</v>
      </c>
      <c r="E1" s="21" t="s">
        <v>62</v>
      </c>
      <c r="F1" s="26" t="s">
        <v>981</v>
      </c>
      <c r="G1" s="27" t="s">
        <v>982</v>
      </c>
      <c r="H1" s="28" t="s">
        <v>3</v>
      </c>
      <c r="I1" s="29" t="s">
        <v>979</v>
      </c>
      <c r="J1" s="21" t="s">
        <v>4</v>
      </c>
      <c r="K1" s="21" t="s">
        <v>5</v>
      </c>
      <c r="L1" s="21" t="s">
        <v>6</v>
      </c>
      <c r="M1" s="21" t="s">
        <v>7</v>
      </c>
      <c r="N1" s="21" t="s">
        <v>8</v>
      </c>
      <c r="O1" s="20" t="s">
        <v>1251</v>
      </c>
      <c r="P1" s="22" t="s">
        <v>983</v>
      </c>
      <c r="Q1" s="22" t="s">
        <v>9</v>
      </c>
      <c r="R1" s="21" t="s">
        <v>10</v>
      </c>
      <c r="S1" s="23" t="s">
        <v>11</v>
      </c>
      <c r="T1" s="24" t="s">
        <v>984</v>
      </c>
      <c r="U1" s="19"/>
      <c r="V1" s="19"/>
      <c r="W1" s="19"/>
      <c r="X1" s="19"/>
      <c r="Y1" s="19"/>
      <c r="Z1" s="19"/>
    </row>
    <row r="2" spans="1:26" thickTop="1" thickBot="1" x14ac:dyDescent="0.35">
      <c r="A2" s="30">
        <v>1984</v>
      </c>
      <c r="B2" s="31" t="s">
        <v>12</v>
      </c>
      <c r="C2" s="31">
        <v>1949</v>
      </c>
      <c r="D2" s="32" t="s">
        <v>13</v>
      </c>
      <c r="E2" s="32" t="s">
        <v>14</v>
      </c>
      <c r="F2" s="33">
        <f>391-4</f>
        <v>387</v>
      </c>
      <c r="G2" s="34">
        <v>420</v>
      </c>
      <c r="H2" s="35" t="s">
        <v>15</v>
      </c>
      <c r="I2" s="36">
        <v>822</v>
      </c>
      <c r="J2" s="37" t="s">
        <v>16</v>
      </c>
      <c r="K2" s="31" t="s">
        <v>17</v>
      </c>
      <c r="L2" s="2" t="str">
        <f>""</f>
        <v/>
      </c>
      <c r="M2" s="31" t="s">
        <v>18</v>
      </c>
      <c r="N2" s="39">
        <v>42914</v>
      </c>
      <c r="O2" s="38" t="s">
        <v>985</v>
      </c>
      <c r="P2" s="66" t="s">
        <v>19</v>
      </c>
      <c r="Q2" s="66" t="s">
        <v>19</v>
      </c>
      <c r="R2" s="32" t="s">
        <v>19</v>
      </c>
      <c r="S2" s="67" t="s">
        <v>20</v>
      </c>
      <c r="T2" s="40" t="s">
        <v>19</v>
      </c>
    </row>
    <row r="3" spans="1:26" thickTop="1" thickBot="1" x14ac:dyDescent="0.35">
      <c r="A3" s="3" t="s">
        <v>1233</v>
      </c>
      <c r="B3" s="4" t="s">
        <v>1234</v>
      </c>
      <c r="C3" s="4">
        <v>2007</v>
      </c>
      <c r="D3" s="5" t="s">
        <v>1097</v>
      </c>
      <c r="E3" s="5" t="s">
        <v>39</v>
      </c>
      <c r="F3" s="6">
        <v>27</v>
      </c>
      <c r="G3" s="7">
        <v>38</v>
      </c>
      <c r="H3" s="8" t="s">
        <v>1192</v>
      </c>
      <c r="K3" s="4" t="s">
        <v>1235</v>
      </c>
      <c r="O3" s="41">
        <v>6</v>
      </c>
      <c r="P3" s="5" t="s">
        <v>19</v>
      </c>
      <c r="Q3" s="5" t="s">
        <v>19</v>
      </c>
      <c r="R3" s="5" t="s">
        <v>19</v>
      </c>
      <c r="S3" s="16" t="s">
        <v>20</v>
      </c>
      <c r="T3" s="11" t="s">
        <v>19</v>
      </c>
    </row>
    <row r="4" spans="1:26" thickTop="1" thickBot="1" x14ac:dyDescent="0.35">
      <c r="A4" s="3" t="s">
        <v>1148</v>
      </c>
      <c r="B4" s="4" t="s">
        <v>1149</v>
      </c>
      <c r="C4" s="4">
        <v>2010</v>
      </c>
      <c r="D4" s="5" t="s">
        <v>1097</v>
      </c>
      <c r="E4" s="5" t="s">
        <v>39</v>
      </c>
      <c r="F4" s="6">
        <f>64-7</f>
        <v>57</v>
      </c>
      <c r="G4" s="7">
        <v>64</v>
      </c>
      <c r="H4" s="8" t="s">
        <v>1150</v>
      </c>
      <c r="K4" s="4" t="s">
        <v>1151</v>
      </c>
      <c r="N4" s="2"/>
      <c r="O4" s="42">
        <v>14.5</v>
      </c>
      <c r="P4" s="5" t="s">
        <v>19</v>
      </c>
      <c r="Q4" s="5" t="s">
        <v>19</v>
      </c>
      <c r="R4" s="5" t="s">
        <v>19</v>
      </c>
      <c r="S4" s="16" t="s">
        <v>20</v>
      </c>
      <c r="T4" s="11" t="s">
        <v>20</v>
      </c>
    </row>
    <row r="5" spans="1:26" thickTop="1" thickBot="1" x14ac:dyDescent="0.35">
      <c r="A5" s="3" t="s">
        <v>21</v>
      </c>
      <c r="B5" s="4" t="s">
        <v>22</v>
      </c>
      <c r="C5" s="4">
        <v>53</v>
      </c>
      <c r="D5" s="5" t="s">
        <v>23</v>
      </c>
      <c r="E5" s="5" t="s">
        <v>24</v>
      </c>
      <c r="F5" s="6">
        <f>763-702</f>
        <v>61</v>
      </c>
      <c r="G5" s="7">
        <v>110</v>
      </c>
      <c r="H5" s="8" t="s">
        <v>15</v>
      </c>
      <c r="I5" s="2">
        <v>7143</v>
      </c>
      <c r="J5" s="9" t="s">
        <v>25</v>
      </c>
      <c r="K5" s="4" t="s">
        <v>26</v>
      </c>
      <c r="L5" s="4" t="s">
        <v>27</v>
      </c>
      <c r="M5" s="2" t="s">
        <v>27</v>
      </c>
      <c r="N5" s="15">
        <v>44867</v>
      </c>
      <c r="O5" s="42">
        <v>0</v>
      </c>
      <c r="P5" s="10" t="s">
        <v>20</v>
      </c>
      <c r="Q5" s="10" t="s">
        <v>19</v>
      </c>
      <c r="R5" s="5" t="s">
        <v>19</v>
      </c>
      <c r="S5" s="2" t="s">
        <v>20</v>
      </c>
      <c r="T5" s="11" t="s">
        <v>20</v>
      </c>
    </row>
    <row r="6" spans="1:26" thickTop="1" thickBot="1" x14ac:dyDescent="0.35">
      <c r="A6" s="3" t="s">
        <v>28</v>
      </c>
      <c r="B6" s="4" t="s">
        <v>29</v>
      </c>
      <c r="C6" s="4">
        <v>1885</v>
      </c>
      <c r="D6" s="5" t="s">
        <v>30</v>
      </c>
      <c r="E6" s="5" t="s">
        <v>31</v>
      </c>
      <c r="F6" s="6">
        <f>387-40</f>
        <v>347</v>
      </c>
      <c r="G6" s="7">
        <v>484</v>
      </c>
      <c r="H6" s="8" t="s">
        <v>15</v>
      </c>
      <c r="I6" s="2">
        <v>1302</v>
      </c>
      <c r="J6" s="2" t="s">
        <v>32</v>
      </c>
      <c r="K6" s="4" t="s">
        <v>33</v>
      </c>
      <c r="L6" s="2" t="s">
        <v>34</v>
      </c>
      <c r="M6" s="4" t="s">
        <v>35</v>
      </c>
      <c r="N6" s="2" t="str">
        <f>""</f>
        <v/>
      </c>
      <c r="O6" s="42">
        <v>4.8</v>
      </c>
      <c r="P6" s="5" t="s">
        <v>19</v>
      </c>
      <c r="Q6" s="5" t="s">
        <v>19</v>
      </c>
      <c r="R6" s="5" t="s">
        <v>19</v>
      </c>
      <c r="S6" s="5" t="s">
        <v>19</v>
      </c>
      <c r="T6" s="11" t="s">
        <v>20</v>
      </c>
    </row>
    <row r="7" spans="1:26" thickTop="1" thickBot="1" x14ac:dyDescent="0.35">
      <c r="A7" s="3" t="s">
        <v>36</v>
      </c>
      <c r="B7" s="4" t="s">
        <v>37</v>
      </c>
      <c r="C7" s="4">
        <v>1913</v>
      </c>
      <c r="D7" s="5" t="s">
        <v>38</v>
      </c>
      <c r="E7" s="5" t="s">
        <v>39</v>
      </c>
      <c r="F7" s="6">
        <f>192-40</f>
        <v>152</v>
      </c>
      <c r="G7" s="7">
        <v>232</v>
      </c>
      <c r="H7" s="8" t="s">
        <v>32</v>
      </c>
      <c r="I7" s="2" t="str">
        <f>""</f>
        <v/>
      </c>
      <c r="J7" s="9" t="s">
        <v>40</v>
      </c>
      <c r="K7" s="4" t="s">
        <v>41</v>
      </c>
      <c r="L7" s="4" t="s">
        <v>42</v>
      </c>
      <c r="M7" s="2" t="str">
        <f>""</f>
        <v/>
      </c>
      <c r="N7" s="5" t="str">
        <f>""</f>
        <v/>
      </c>
      <c r="O7" s="41">
        <v>3.4</v>
      </c>
      <c r="P7" s="5" t="s">
        <v>19</v>
      </c>
      <c r="Q7" s="10" t="s">
        <v>19</v>
      </c>
      <c r="R7" s="5" t="s">
        <v>20</v>
      </c>
      <c r="S7" s="2" t="str">
        <f>""</f>
        <v/>
      </c>
      <c r="T7" s="11" t="s">
        <v>20</v>
      </c>
    </row>
    <row r="8" spans="1:26" thickTop="1" thickBot="1" x14ac:dyDescent="0.35">
      <c r="A8" s="3" t="s">
        <v>43</v>
      </c>
      <c r="B8" s="4" t="s">
        <v>44</v>
      </c>
      <c r="C8" s="4">
        <v>1991</v>
      </c>
      <c r="D8" s="5" t="s">
        <v>45</v>
      </c>
      <c r="E8" s="5" t="s">
        <v>46</v>
      </c>
      <c r="F8" s="6">
        <v>525</v>
      </c>
      <c r="G8" s="7">
        <v>532</v>
      </c>
      <c r="H8" s="12" t="s">
        <v>47</v>
      </c>
      <c r="I8" s="2">
        <v>3773</v>
      </c>
      <c r="J8" s="9" t="str">
        <f>""</f>
        <v/>
      </c>
      <c r="K8" s="4" t="s">
        <v>48</v>
      </c>
      <c r="L8" s="2" t="str">
        <f>""</f>
        <v/>
      </c>
      <c r="M8" s="4" t="s">
        <v>49</v>
      </c>
      <c r="N8" s="5" t="str">
        <f>""</f>
        <v/>
      </c>
      <c r="O8" s="41"/>
      <c r="P8" s="5" t="s">
        <v>19</v>
      </c>
      <c r="Q8" s="10" t="s">
        <v>19</v>
      </c>
      <c r="R8" s="5" t="s">
        <v>19</v>
      </c>
      <c r="S8" s="5" t="s">
        <v>19</v>
      </c>
      <c r="T8" s="11" t="s">
        <v>20</v>
      </c>
    </row>
    <row r="9" spans="1:26" thickTop="1" thickBot="1" x14ac:dyDescent="0.35">
      <c r="A9" s="3" t="s">
        <v>50</v>
      </c>
      <c r="B9" s="4" t="s">
        <v>51</v>
      </c>
      <c r="C9" s="4">
        <v>1668</v>
      </c>
      <c r="D9" s="5" t="s">
        <v>23</v>
      </c>
      <c r="E9" s="5" t="s">
        <v>39</v>
      </c>
      <c r="F9" s="6">
        <f>128-18</f>
        <v>110</v>
      </c>
      <c r="G9" s="7">
        <v>196</v>
      </c>
      <c r="H9" s="8" t="s">
        <v>15</v>
      </c>
      <c r="I9" s="2">
        <v>3236</v>
      </c>
      <c r="J9" s="9" t="s">
        <v>25</v>
      </c>
      <c r="K9" s="4" t="s">
        <v>52</v>
      </c>
      <c r="L9" s="2" t="s">
        <v>53</v>
      </c>
      <c r="M9" s="2" t="str">
        <f>""</f>
        <v/>
      </c>
      <c r="N9" s="13">
        <v>44760</v>
      </c>
      <c r="O9" s="41"/>
      <c r="P9" s="5" t="s">
        <v>19</v>
      </c>
      <c r="Q9" s="10" t="s">
        <v>19</v>
      </c>
      <c r="R9" s="5" t="s">
        <v>20</v>
      </c>
      <c r="S9" s="5" t="str">
        <f>""</f>
        <v/>
      </c>
      <c r="T9" s="11" t="s">
        <v>20</v>
      </c>
    </row>
    <row r="10" spans="1:26" thickTop="1" thickBot="1" x14ac:dyDescent="0.35">
      <c r="A10" s="3" t="s">
        <v>54</v>
      </c>
      <c r="B10" s="4" t="s">
        <v>55</v>
      </c>
      <c r="C10" s="4">
        <v>2000</v>
      </c>
      <c r="D10" s="5" t="s">
        <v>45</v>
      </c>
      <c r="E10" s="5" t="s">
        <v>46</v>
      </c>
      <c r="F10" s="6">
        <f>713-5+1</f>
        <v>709</v>
      </c>
      <c r="G10" s="7">
        <v>724</v>
      </c>
      <c r="H10" s="8" t="s">
        <v>56</v>
      </c>
      <c r="I10" s="2">
        <v>33703</v>
      </c>
      <c r="J10" s="9" t="s">
        <v>57</v>
      </c>
      <c r="K10" s="4" t="s">
        <v>58</v>
      </c>
      <c r="L10" s="4" t="str">
        <f>""</f>
        <v/>
      </c>
      <c r="M10" s="4" t="s">
        <v>59</v>
      </c>
      <c r="N10" s="10">
        <v>42403</v>
      </c>
      <c r="O10" s="41"/>
      <c r="P10" s="5" t="s">
        <v>19</v>
      </c>
      <c r="Q10" s="10" t="s">
        <v>19</v>
      </c>
      <c r="R10" s="5" t="s">
        <v>19</v>
      </c>
      <c r="S10" s="2" t="s">
        <v>19</v>
      </c>
      <c r="T10" s="11" t="s">
        <v>19</v>
      </c>
    </row>
    <row r="11" spans="1:26" thickTop="1" thickBot="1" x14ac:dyDescent="0.35">
      <c r="A11" s="3" t="s">
        <v>60</v>
      </c>
      <c r="B11" s="4" t="s">
        <v>61</v>
      </c>
      <c r="C11" s="4">
        <v>1999</v>
      </c>
      <c r="D11" s="5" t="s">
        <v>62</v>
      </c>
      <c r="E11" s="5" t="s">
        <v>39</v>
      </c>
      <c r="F11" s="6">
        <f>415</f>
        <v>415</v>
      </c>
      <c r="G11" s="7">
        <v>436</v>
      </c>
      <c r="H11" s="8" t="s">
        <v>63</v>
      </c>
      <c r="I11" s="2" t="str">
        <f>""</f>
        <v/>
      </c>
      <c r="J11" s="9" t="s">
        <v>64</v>
      </c>
      <c r="K11" s="4" t="s">
        <v>65</v>
      </c>
      <c r="L11" s="4" t="str">
        <f>""</f>
        <v/>
      </c>
      <c r="M11" s="4" t="str">
        <f>""</f>
        <v/>
      </c>
      <c r="N11" s="15">
        <v>43586</v>
      </c>
      <c r="O11" s="42"/>
      <c r="P11" s="5" t="s">
        <v>19</v>
      </c>
      <c r="Q11" s="10" t="s">
        <v>19</v>
      </c>
      <c r="R11" s="5" t="s">
        <v>19</v>
      </c>
      <c r="S11" s="2" t="s">
        <v>20</v>
      </c>
      <c r="T11" s="11" t="s">
        <v>20</v>
      </c>
    </row>
    <row r="12" spans="1:26" thickTop="1" thickBot="1" x14ac:dyDescent="0.35">
      <c r="A12" s="3" t="s">
        <v>66</v>
      </c>
      <c r="B12" s="4" t="s">
        <v>67</v>
      </c>
      <c r="C12" s="4">
        <v>1877</v>
      </c>
      <c r="D12" s="5" t="s">
        <v>13</v>
      </c>
      <c r="E12" s="5" t="s">
        <v>68</v>
      </c>
      <c r="F12" s="6">
        <f>985-14</f>
        <v>971</v>
      </c>
      <c r="G12" s="7">
        <v>1034</v>
      </c>
      <c r="H12" s="8" t="s">
        <v>57</v>
      </c>
      <c r="I12" s="2">
        <v>3141</v>
      </c>
      <c r="J12" s="9" t="s">
        <v>69</v>
      </c>
      <c r="K12" s="4" t="s">
        <v>70</v>
      </c>
      <c r="L12" s="4" t="s">
        <v>71</v>
      </c>
      <c r="M12" s="4" t="s">
        <v>72</v>
      </c>
      <c r="N12" s="10">
        <v>44797</v>
      </c>
      <c r="O12" s="41"/>
      <c r="P12" s="5" t="s">
        <v>19</v>
      </c>
      <c r="Q12" s="10" t="s">
        <v>19</v>
      </c>
      <c r="R12" s="5" t="s">
        <v>20</v>
      </c>
      <c r="S12" s="5" t="str">
        <f>""</f>
        <v/>
      </c>
      <c r="T12" s="11" t="s">
        <v>20</v>
      </c>
    </row>
    <row r="13" spans="1:26" thickTop="1" thickBot="1" x14ac:dyDescent="0.35">
      <c r="A13" s="3" t="s">
        <v>73</v>
      </c>
      <c r="B13" s="4" t="s">
        <v>74</v>
      </c>
      <c r="C13" s="4">
        <v>-441</v>
      </c>
      <c r="D13" s="5" t="s">
        <v>23</v>
      </c>
      <c r="E13" s="5" t="s">
        <v>75</v>
      </c>
      <c r="F13" s="6">
        <f>100-38</f>
        <v>62</v>
      </c>
      <c r="G13" s="7">
        <v>228</v>
      </c>
      <c r="H13" s="8" t="s">
        <v>15</v>
      </c>
      <c r="I13" s="2">
        <v>1023</v>
      </c>
      <c r="J13" s="2" t="s">
        <v>32</v>
      </c>
      <c r="K13" s="4" t="s">
        <v>76</v>
      </c>
      <c r="L13" s="2" t="s">
        <v>77</v>
      </c>
      <c r="M13" s="4" t="s">
        <v>78</v>
      </c>
      <c r="N13" s="5" t="str">
        <f>""</f>
        <v/>
      </c>
      <c r="O13" s="41"/>
      <c r="P13" s="5" t="s">
        <v>19</v>
      </c>
      <c r="Q13" s="10" t="s">
        <v>19</v>
      </c>
      <c r="R13" s="5" t="s">
        <v>20</v>
      </c>
      <c r="S13" s="5" t="str">
        <f>""</f>
        <v/>
      </c>
      <c r="T13" s="11" t="s">
        <v>20</v>
      </c>
    </row>
    <row r="14" spans="1:26" thickTop="1" thickBot="1" x14ac:dyDescent="0.35">
      <c r="A14" s="3" t="s">
        <v>1211</v>
      </c>
      <c r="B14" s="4" t="s">
        <v>1212</v>
      </c>
      <c r="C14" s="4">
        <v>2005</v>
      </c>
      <c r="D14" s="5" t="s">
        <v>1097</v>
      </c>
      <c r="E14" s="5" t="s">
        <v>31</v>
      </c>
      <c r="F14" s="6">
        <v>27</v>
      </c>
      <c r="G14" s="7">
        <v>36</v>
      </c>
      <c r="H14" s="8" t="s">
        <v>1192</v>
      </c>
      <c r="K14" s="4" t="s">
        <v>1213</v>
      </c>
      <c r="L14" s="2"/>
      <c r="M14" s="2" t="s">
        <v>1214</v>
      </c>
      <c r="N14" s="2"/>
      <c r="O14" s="42">
        <v>12.5</v>
      </c>
      <c r="P14" s="5" t="s">
        <v>19</v>
      </c>
      <c r="Q14" s="5" t="s">
        <v>19</v>
      </c>
      <c r="R14" s="5" t="s">
        <v>19</v>
      </c>
      <c r="S14" s="43" t="s">
        <v>20</v>
      </c>
      <c r="T14" s="11" t="s">
        <v>20</v>
      </c>
    </row>
    <row r="15" spans="1:26" thickTop="1" thickBot="1" x14ac:dyDescent="0.35">
      <c r="A15" s="3" t="s">
        <v>79</v>
      </c>
      <c r="B15" s="4" t="s">
        <v>80</v>
      </c>
      <c r="C15" s="4">
        <v>-390</v>
      </c>
      <c r="D15" s="5" t="s">
        <v>30</v>
      </c>
      <c r="E15" s="5" t="s">
        <v>75</v>
      </c>
      <c r="F15" s="6">
        <f>124-80</f>
        <v>44</v>
      </c>
      <c r="G15" s="7">
        <f>276/2</f>
        <v>138</v>
      </c>
      <c r="H15" s="8" t="s">
        <v>15</v>
      </c>
      <c r="I15" s="2">
        <v>848</v>
      </c>
      <c r="J15" s="9" t="s">
        <v>32</v>
      </c>
      <c r="K15" s="4" t="s">
        <v>81</v>
      </c>
      <c r="L15" s="4" t="s">
        <v>82</v>
      </c>
      <c r="M15" s="2" t="s">
        <v>82</v>
      </c>
      <c r="N15" s="13">
        <v>44044</v>
      </c>
      <c r="O15" s="41">
        <v>5</v>
      </c>
      <c r="P15" s="5" t="s">
        <v>19</v>
      </c>
      <c r="Q15" s="10" t="s">
        <v>19</v>
      </c>
      <c r="R15" s="5" t="s">
        <v>19</v>
      </c>
      <c r="S15" s="2" t="s">
        <v>19</v>
      </c>
      <c r="T15" s="11" t="s">
        <v>20</v>
      </c>
    </row>
    <row r="16" spans="1:26" thickTop="1" thickBot="1" x14ac:dyDescent="0.35">
      <c r="A16" s="3" t="s">
        <v>83</v>
      </c>
      <c r="B16" s="4" t="s">
        <v>84</v>
      </c>
      <c r="C16" s="4">
        <v>1989</v>
      </c>
      <c r="D16" s="5" t="s">
        <v>85</v>
      </c>
      <c r="E16" s="5" t="s">
        <v>46</v>
      </c>
      <c r="F16" s="6">
        <v>617</v>
      </c>
      <c r="G16" s="7">
        <f>337*2</f>
        <v>674</v>
      </c>
      <c r="H16" s="8" t="s">
        <v>86</v>
      </c>
      <c r="I16" s="2" t="str">
        <f>""</f>
        <v/>
      </c>
      <c r="J16" s="9" t="str">
        <f>""</f>
        <v/>
      </c>
      <c r="K16" s="4" t="s">
        <v>87</v>
      </c>
      <c r="L16" s="4" t="str">
        <f>""</f>
        <v/>
      </c>
      <c r="M16" s="2" t="s">
        <v>88</v>
      </c>
      <c r="N16" s="13">
        <v>44197</v>
      </c>
      <c r="O16" s="41"/>
      <c r="P16" s="5" t="s">
        <v>19</v>
      </c>
      <c r="Q16" s="10" t="s">
        <v>19</v>
      </c>
      <c r="R16" s="5" t="s">
        <v>19</v>
      </c>
      <c r="S16" s="2" t="s">
        <v>19</v>
      </c>
      <c r="T16" s="11" t="s">
        <v>20</v>
      </c>
    </row>
    <row r="17" spans="1:20" thickTop="1" thickBot="1" x14ac:dyDescent="0.35">
      <c r="A17" s="3" t="s">
        <v>89</v>
      </c>
      <c r="B17" s="4" t="s">
        <v>90</v>
      </c>
      <c r="C17" s="4">
        <v>2015</v>
      </c>
      <c r="D17" s="5" t="s">
        <v>85</v>
      </c>
      <c r="E17" s="5" t="s">
        <v>31</v>
      </c>
      <c r="F17" s="6">
        <f>804-2</f>
        <v>802</v>
      </c>
      <c r="G17" s="7">
        <v>840</v>
      </c>
      <c r="H17" s="8" t="s">
        <v>91</v>
      </c>
      <c r="I17" s="2" t="str">
        <f>""</f>
        <v/>
      </c>
      <c r="J17" s="9" t="s">
        <v>92</v>
      </c>
      <c r="K17" s="4" t="s">
        <v>93</v>
      </c>
      <c r="L17" s="4" t="str">
        <f>""</f>
        <v/>
      </c>
      <c r="M17" s="2" t="str">
        <f>""</f>
        <v/>
      </c>
      <c r="N17" s="2" t="str">
        <f>""</f>
        <v/>
      </c>
      <c r="O17" s="42"/>
      <c r="P17" s="5" t="s">
        <v>19</v>
      </c>
      <c r="Q17" s="10" t="s">
        <v>19</v>
      </c>
      <c r="R17" s="5" t="s">
        <v>20</v>
      </c>
      <c r="S17" s="2" t="str">
        <f>""</f>
        <v/>
      </c>
      <c r="T17" s="11" t="s">
        <v>19</v>
      </c>
    </row>
    <row r="18" spans="1:20" thickTop="1" thickBot="1" x14ac:dyDescent="0.35">
      <c r="A18" s="3" t="s">
        <v>94</v>
      </c>
      <c r="B18" s="4" t="s">
        <v>95</v>
      </c>
      <c r="C18" s="4">
        <v>1883</v>
      </c>
      <c r="D18" s="5" t="s">
        <v>13</v>
      </c>
      <c r="E18" s="5" t="s">
        <v>39</v>
      </c>
      <c r="F18" s="6">
        <f>513-42</f>
        <v>471</v>
      </c>
      <c r="G18" s="7">
        <v>548</v>
      </c>
      <c r="H18" s="8" t="s">
        <v>57</v>
      </c>
      <c r="I18" s="2">
        <v>228</v>
      </c>
      <c r="J18" s="9" t="s">
        <v>69</v>
      </c>
      <c r="K18" s="4" t="s">
        <v>96</v>
      </c>
      <c r="L18" s="2" t="s">
        <v>97</v>
      </c>
      <c r="M18" s="2" t="str">
        <f>""</f>
        <v/>
      </c>
      <c r="N18" s="17">
        <v>44317</v>
      </c>
      <c r="O18" s="42">
        <v>4.5</v>
      </c>
      <c r="P18" s="5" t="s">
        <v>19</v>
      </c>
      <c r="Q18" s="10" t="s">
        <v>19</v>
      </c>
      <c r="R18" s="5" t="s">
        <v>20</v>
      </c>
      <c r="S18" s="5" t="str">
        <f>""</f>
        <v/>
      </c>
      <c r="T18" s="11" t="s">
        <v>20</v>
      </c>
    </row>
    <row r="19" spans="1:20" thickTop="1" thickBot="1" x14ac:dyDescent="0.35">
      <c r="A19" s="3" t="s">
        <v>1228</v>
      </c>
      <c r="B19" s="4" t="s">
        <v>1223</v>
      </c>
      <c r="C19" s="4">
        <v>2005</v>
      </c>
      <c r="D19" s="5" t="s">
        <v>1097</v>
      </c>
      <c r="E19" s="5" t="s">
        <v>39</v>
      </c>
      <c r="F19" s="6">
        <v>29</v>
      </c>
      <c r="G19" s="7">
        <v>40</v>
      </c>
      <c r="H19" s="8" t="s">
        <v>1192</v>
      </c>
      <c r="K19" s="4" t="s">
        <v>1229</v>
      </c>
      <c r="O19" s="41">
        <v>6</v>
      </c>
      <c r="P19" s="5" t="s">
        <v>19</v>
      </c>
      <c r="Q19" s="5" t="s">
        <v>19</v>
      </c>
      <c r="R19" s="5" t="s">
        <v>19</v>
      </c>
      <c r="S19" s="43" t="s">
        <v>20</v>
      </c>
      <c r="T19" s="11" t="s">
        <v>20</v>
      </c>
    </row>
    <row r="20" spans="1:20" thickTop="1" thickBot="1" x14ac:dyDescent="0.35">
      <c r="A20" s="3" t="s">
        <v>98</v>
      </c>
      <c r="B20" s="4" t="s">
        <v>99</v>
      </c>
      <c r="C20" s="4">
        <v>1899</v>
      </c>
      <c r="D20" s="5" t="s">
        <v>38</v>
      </c>
      <c r="E20" s="5" t="s">
        <v>39</v>
      </c>
      <c r="F20" s="6">
        <f>164-86</f>
        <v>78</v>
      </c>
      <c r="G20" s="7">
        <f>340/3</f>
        <v>113.33333333333333</v>
      </c>
      <c r="H20" s="8" t="s">
        <v>15</v>
      </c>
      <c r="I20" s="2">
        <v>261</v>
      </c>
      <c r="J20" s="9" t="s">
        <v>38</v>
      </c>
      <c r="K20" s="4" t="s">
        <v>100</v>
      </c>
      <c r="L20" s="4" t="s">
        <v>101</v>
      </c>
      <c r="M20" s="2" t="str">
        <f>""</f>
        <v/>
      </c>
      <c r="N20" s="10">
        <v>44686</v>
      </c>
      <c r="O20" s="41"/>
      <c r="P20" s="5" t="s">
        <v>20</v>
      </c>
      <c r="Q20" s="10" t="s">
        <v>19</v>
      </c>
      <c r="R20" s="5" t="s">
        <v>20</v>
      </c>
      <c r="S20" s="2" t="str">
        <f>""</f>
        <v/>
      </c>
      <c r="T20" s="11" t="s">
        <v>20</v>
      </c>
    </row>
    <row r="21" spans="1:20" thickTop="1" thickBot="1" x14ac:dyDescent="0.35">
      <c r="A21" s="3" t="s">
        <v>102</v>
      </c>
      <c r="B21" s="4" t="s">
        <v>103</v>
      </c>
      <c r="C21" s="4">
        <v>1885</v>
      </c>
      <c r="D21" s="5" t="s">
        <v>13</v>
      </c>
      <c r="E21" s="5" t="s">
        <v>39</v>
      </c>
      <c r="F21" s="6">
        <f>371-42</f>
        <v>329</v>
      </c>
      <c r="G21" s="7">
        <v>436</v>
      </c>
      <c r="H21" s="8" t="s">
        <v>15</v>
      </c>
      <c r="I21" s="2">
        <v>1356</v>
      </c>
      <c r="J21" s="9" t="s">
        <v>32</v>
      </c>
      <c r="K21" s="4" t="s">
        <v>104</v>
      </c>
      <c r="L21" s="4" t="s">
        <v>105</v>
      </c>
      <c r="M21" s="2" t="str">
        <f>""</f>
        <v/>
      </c>
      <c r="N21" s="5" t="str">
        <f>""</f>
        <v/>
      </c>
      <c r="O21" s="41">
        <v>3.3</v>
      </c>
      <c r="P21" s="5" t="s">
        <v>19</v>
      </c>
      <c r="Q21" s="10" t="s">
        <v>19</v>
      </c>
      <c r="R21" s="5" t="s">
        <v>20</v>
      </c>
      <c r="S21" s="2" t="str">
        <f>""</f>
        <v/>
      </c>
      <c r="T21" s="11" t="s">
        <v>20</v>
      </c>
    </row>
    <row r="22" spans="1:20" thickTop="1" thickBot="1" x14ac:dyDescent="0.35">
      <c r="A22" s="3" t="s">
        <v>106</v>
      </c>
      <c r="B22" s="4" t="s">
        <v>107</v>
      </c>
      <c r="C22" s="4">
        <v>2020</v>
      </c>
      <c r="D22" s="5" t="s">
        <v>108</v>
      </c>
      <c r="E22" s="5" t="s">
        <v>31</v>
      </c>
      <c r="F22" s="6">
        <f>471-8</f>
        <v>463</v>
      </c>
      <c r="G22" s="7">
        <v>518</v>
      </c>
      <c r="H22" s="8" t="s">
        <v>91</v>
      </c>
      <c r="I22" s="2" t="str">
        <f>""</f>
        <v/>
      </c>
      <c r="J22" s="9" t="s">
        <v>109</v>
      </c>
      <c r="K22" s="4" t="s">
        <v>110</v>
      </c>
      <c r="L22" s="2" t="str">
        <f>""</f>
        <v/>
      </c>
      <c r="M22" s="2" t="str">
        <f>""</f>
        <v/>
      </c>
      <c r="N22" s="2" t="str">
        <f>""</f>
        <v/>
      </c>
      <c r="O22" s="42">
        <v>25</v>
      </c>
      <c r="P22" s="5" t="s">
        <v>19</v>
      </c>
      <c r="Q22" s="10" t="s">
        <v>19</v>
      </c>
      <c r="R22" s="5" t="s">
        <v>19</v>
      </c>
      <c r="S22" s="2" t="s">
        <v>19</v>
      </c>
      <c r="T22" s="11" t="s">
        <v>20</v>
      </c>
    </row>
    <row r="23" spans="1:20" thickTop="1" thickBot="1" x14ac:dyDescent="0.35">
      <c r="A23" s="3" t="s">
        <v>111</v>
      </c>
      <c r="B23" s="4" t="s">
        <v>112</v>
      </c>
      <c r="C23" s="4">
        <v>-600</v>
      </c>
      <c r="D23" s="5" t="s">
        <v>38</v>
      </c>
      <c r="E23" s="5" t="s">
        <v>75</v>
      </c>
      <c r="F23" s="6">
        <f>173-144</f>
        <v>29</v>
      </c>
      <c r="G23" s="7">
        <v>105</v>
      </c>
      <c r="H23" s="8" t="s">
        <v>15</v>
      </c>
      <c r="I23" s="2">
        <v>3467</v>
      </c>
      <c r="J23" s="9" t="s">
        <v>25</v>
      </c>
      <c r="K23" s="4" t="s">
        <v>113</v>
      </c>
      <c r="L23" s="4" t="s">
        <v>114</v>
      </c>
      <c r="M23" s="2" t="s">
        <v>114</v>
      </c>
      <c r="N23" s="10">
        <v>44152</v>
      </c>
      <c r="O23" s="41">
        <v>0</v>
      </c>
      <c r="P23" s="5" t="s">
        <v>20</v>
      </c>
      <c r="Q23" s="10" t="s">
        <v>19</v>
      </c>
      <c r="R23" s="5" t="s">
        <v>20</v>
      </c>
      <c r="S23" s="5" t="str">
        <f>""</f>
        <v/>
      </c>
      <c r="T23" s="11" t="s">
        <v>20</v>
      </c>
    </row>
    <row r="24" spans="1:20" thickTop="1" thickBot="1" x14ac:dyDescent="0.35">
      <c r="A24" s="3" t="s">
        <v>115</v>
      </c>
      <c r="B24" s="4" t="s">
        <v>103</v>
      </c>
      <c r="C24" s="4">
        <v>1880</v>
      </c>
      <c r="D24" s="5" t="s">
        <v>13</v>
      </c>
      <c r="E24" s="5" t="s">
        <v>39</v>
      </c>
      <c r="F24" s="6">
        <f>296-28</f>
        <v>268</v>
      </c>
      <c r="G24" s="7">
        <v>340</v>
      </c>
      <c r="H24" s="8" t="s">
        <v>15</v>
      </c>
      <c r="I24" s="2">
        <v>3297</v>
      </c>
      <c r="J24" s="9" t="s">
        <v>25</v>
      </c>
      <c r="K24" s="4" t="s">
        <v>116</v>
      </c>
      <c r="L24" s="4" t="s">
        <v>117</v>
      </c>
      <c r="M24" s="4" t="str">
        <f>""</f>
        <v/>
      </c>
      <c r="N24" s="10">
        <v>44867</v>
      </c>
      <c r="O24" s="41" t="s">
        <v>1025</v>
      </c>
      <c r="P24" s="5" t="s">
        <v>19</v>
      </c>
      <c r="Q24" s="10" t="s">
        <v>19</v>
      </c>
      <c r="R24" s="5" t="s">
        <v>20</v>
      </c>
      <c r="S24" s="5" t="str">
        <f>""</f>
        <v/>
      </c>
      <c r="T24" s="11" t="s">
        <v>20</v>
      </c>
    </row>
    <row r="25" spans="1:20" thickTop="1" thickBot="1" x14ac:dyDescent="0.35">
      <c r="A25" s="3" t="s">
        <v>118</v>
      </c>
      <c r="B25" s="4" t="s">
        <v>51</v>
      </c>
      <c r="C25" s="4">
        <v>1670</v>
      </c>
      <c r="D25" s="5" t="s">
        <v>23</v>
      </c>
      <c r="E25" s="5" t="s">
        <v>39</v>
      </c>
      <c r="F25" s="6">
        <f>155-30</f>
        <v>125</v>
      </c>
      <c r="G25" s="7">
        <v>228</v>
      </c>
      <c r="H25" s="8" t="s">
        <v>15</v>
      </c>
      <c r="I25" s="2">
        <v>3378</v>
      </c>
      <c r="J25" s="9" t="s">
        <v>25</v>
      </c>
      <c r="K25" s="4" t="s">
        <v>119</v>
      </c>
      <c r="L25" s="2" t="s">
        <v>120</v>
      </c>
      <c r="M25" s="2" t="str">
        <f>""</f>
        <v/>
      </c>
      <c r="N25" s="15">
        <v>44480</v>
      </c>
      <c r="O25" s="42">
        <v>3</v>
      </c>
      <c r="P25" s="5" t="s">
        <v>19</v>
      </c>
      <c r="Q25" s="10" t="s">
        <v>19</v>
      </c>
      <c r="R25" s="5" t="s">
        <v>20</v>
      </c>
      <c r="S25" s="5" t="str">
        <f>""</f>
        <v/>
      </c>
      <c r="T25" s="11" t="s">
        <v>20</v>
      </c>
    </row>
    <row r="26" spans="1:20" thickTop="1" thickBot="1" x14ac:dyDescent="0.35">
      <c r="A26" s="3" t="s">
        <v>121</v>
      </c>
      <c r="B26" s="4" t="s">
        <v>122</v>
      </c>
      <c r="C26" s="4">
        <v>2020</v>
      </c>
      <c r="D26" s="5" t="s">
        <v>108</v>
      </c>
      <c r="E26" s="5" t="s">
        <v>31</v>
      </c>
      <c r="F26" s="6">
        <f>497-3</f>
        <v>494</v>
      </c>
      <c r="G26" s="7">
        <v>518</v>
      </c>
      <c r="H26" s="8" t="s">
        <v>91</v>
      </c>
      <c r="I26" s="2" t="str">
        <f>""</f>
        <v/>
      </c>
      <c r="J26" s="9" t="s">
        <v>109</v>
      </c>
      <c r="K26" s="4" t="s">
        <v>123</v>
      </c>
      <c r="L26" s="2" t="str">
        <f>""</f>
        <v/>
      </c>
      <c r="M26" s="2" t="str">
        <f>""</f>
        <v/>
      </c>
      <c r="N26" s="5" t="str">
        <f>""</f>
        <v/>
      </c>
      <c r="O26" s="41">
        <v>25</v>
      </c>
      <c r="P26" s="5" t="s">
        <v>19</v>
      </c>
      <c r="Q26" s="10" t="s">
        <v>19</v>
      </c>
      <c r="R26" s="5" t="s">
        <v>20</v>
      </c>
      <c r="S26" s="5" t="str">
        <f>""</f>
        <v/>
      </c>
      <c r="T26" s="11" t="s">
        <v>20</v>
      </c>
    </row>
    <row r="27" spans="1:20" thickTop="1" thickBot="1" x14ac:dyDescent="0.35">
      <c r="A27" s="3" t="s">
        <v>124</v>
      </c>
      <c r="B27" s="4" t="s">
        <v>125</v>
      </c>
      <c r="C27" s="4">
        <v>1759</v>
      </c>
      <c r="D27" s="5" t="s">
        <v>30</v>
      </c>
      <c r="E27" s="5" t="s">
        <v>39</v>
      </c>
      <c r="F27" s="6">
        <f>167-44</f>
        <v>123</v>
      </c>
      <c r="G27" s="7">
        <v>228</v>
      </c>
      <c r="H27" s="8" t="s">
        <v>57</v>
      </c>
      <c r="I27" s="2">
        <v>3111</v>
      </c>
      <c r="J27" s="9" t="s">
        <v>69</v>
      </c>
      <c r="K27" s="4" t="s">
        <v>126</v>
      </c>
      <c r="L27" s="2" t="s">
        <v>127</v>
      </c>
      <c r="M27" s="4" t="str">
        <f>""</f>
        <v/>
      </c>
      <c r="N27" s="13">
        <v>44652</v>
      </c>
      <c r="O27" s="41">
        <v>2.5</v>
      </c>
      <c r="P27" s="5" t="s">
        <v>19</v>
      </c>
      <c r="Q27" s="10" t="s">
        <v>19</v>
      </c>
      <c r="R27" s="5" t="s">
        <v>19</v>
      </c>
      <c r="S27" s="5" t="s">
        <v>20</v>
      </c>
      <c r="T27" s="11" t="s">
        <v>19</v>
      </c>
    </row>
    <row r="28" spans="1:20" thickTop="1" thickBot="1" x14ac:dyDescent="0.35">
      <c r="A28" s="3" t="s">
        <v>128</v>
      </c>
      <c r="B28" s="4" t="s">
        <v>129</v>
      </c>
      <c r="C28" s="4">
        <v>1343</v>
      </c>
      <c r="D28" s="5" t="s">
        <v>38</v>
      </c>
      <c r="E28" s="5" t="s">
        <v>130</v>
      </c>
      <c r="F28" s="6">
        <f>538-64</f>
        <v>474</v>
      </c>
      <c r="G28" s="7">
        <v>564</v>
      </c>
      <c r="H28" s="8" t="s">
        <v>131</v>
      </c>
      <c r="I28" s="2">
        <v>534</v>
      </c>
      <c r="J28" s="9" t="s">
        <v>38</v>
      </c>
      <c r="K28" s="4" t="s">
        <v>132</v>
      </c>
      <c r="L28" s="4" t="s">
        <v>133</v>
      </c>
      <c r="M28" s="2" t="s">
        <v>133</v>
      </c>
      <c r="N28" s="10">
        <v>43345</v>
      </c>
      <c r="O28" s="41"/>
      <c r="P28" s="5" t="s">
        <v>19</v>
      </c>
      <c r="Q28" s="10" t="s">
        <v>19</v>
      </c>
      <c r="R28" s="5" t="s">
        <v>19</v>
      </c>
      <c r="S28" s="5" t="s">
        <v>19</v>
      </c>
      <c r="T28" s="11" t="s">
        <v>20</v>
      </c>
    </row>
    <row r="29" spans="1:20" thickTop="1" thickBot="1" x14ac:dyDescent="0.35">
      <c r="A29" s="3" t="s">
        <v>134</v>
      </c>
      <c r="B29" s="4" t="s">
        <v>135</v>
      </c>
      <c r="C29" s="4">
        <v>2021</v>
      </c>
      <c r="D29" s="5" t="s">
        <v>108</v>
      </c>
      <c r="E29" s="5" t="s">
        <v>31</v>
      </c>
      <c r="F29" s="6">
        <f>483-2</f>
        <v>481</v>
      </c>
      <c r="G29" s="7">
        <v>518</v>
      </c>
      <c r="H29" s="8" t="s">
        <v>91</v>
      </c>
      <c r="I29" s="2" t="str">
        <f>""</f>
        <v/>
      </c>
      <c r="J29" s="2" t="s">
        <v>109</v>
      </c>
      <c r="K29" s="4" t="s">
        <v>136</v>
      </c>
      <c r="L29" s="2" t="str">
        <f>""</f>
        <v/>
      </c>
      <c r="M29" s="2" t="str">
        <f>""</f>
        <v/>
      </c>
      <c r="N29" s="5" t="str">
        <f>""</f>
        <v/>
      </c>
      <c r="O29" s="41">
        <v>25</v>
      </c>
      <c r="P29" s="5" t="s">
        <v>19</v>
      </c>
      <c r="Q29" s="10" t="s">
        <v>19</v>
      </c>
      <c r="R29" s="5" t="s">
        <v>19</v>
      </c>
      <c r="S29" s="5" t="s">
        <v>19</v>
      </c>
      <c r="T29" s="11" t="s">
        <v>20</v>
      </c>
    </row>
    <row r="30" spans="1:20" thickTop="1" thickBot="1" x14ac:dyDescent="0.35">
      <c r="A30" s="3" t="s">
        <v>1008</v>
      </c>
      <c r="B30" s="4" t="s">
        <v>1009</v>
      </c>
      <c r="C30" s="4">
        <v>1845</v>
      </c>
      <c r="D30" s="5" t="s">
        <v>386</v>
      </c>
      <c r="E30" s="5" t="s">
        <v>39</v>
      </c>
      <c r="F30" s="6">
        <f>152-54</f>
        <v>98</v>
      </c>
      <c r="G30" s="7">
        <v>196</v>
      </c>
      <c r="H30" s="8" t="s">
        <v>57</v>
      </c>
      <c r="I30" s="2">
        <v>35456</v>
      </c>
      <c r="J30" s="2" t="s">
        <v>69</v>
      </c>
      <c r="K30" s="4" t="s">
        <v>1010</v>
      </c>
      <c r="L30" s="2" t="s">
        <v>1011</v>
      </c>
      <c r="M30" s="2"/>
      <c r="N30" s="13">
        <v>45413</v>
      </c>
      <c r="O30" s="41">
        <v>3</v>
      </c>
      <c r="P30" s="5" t="s">
        <v>19</v>
      </c>
      <c r="Q30" s="5" t="s">
        <v>19</v>
      </c>
      <c r="R30" s="5" t="s">
        <v>20</v>
      </c>
      <c r="S30" s="16"/>
      <c r="T30" s="11" t="s">
        <v>20</v>
      </c>
    </row>
    <row r="31" spans="1:20" thickTop="1" thickBot="1" x14ac:dyDescent="0.35">
      <c r="A31" s="3" t="s">
        <v>1219</v>
      </c>
      <c r="B31" s="4" t="s">
        <v>1220</v>
      </c>
      <c r="C31" s="4">
        <v>2009</v>
      </c>
      <c r="D31" s="5" t="s">
        <v>1097</v>
      </c>
      <c r="E31" s="5" t="s">
        <v>39</v>
      </c>
      <c r="F31" s="6">
        <v>33</v>
      </c>
      <c r="G31" s="7">
        <v>44</v>
      </c>
      <c r="H31" s="8" t="s">
        <v>1192</v>
      </c>
      <c r="J31" s="9" t="s">
        <v>1193</v>
      </c>
      <c r="K31" s="4" t="s">
        <v>1221</v>
      </c>
      <c r="O31" s="41">
        <v>6</v>
      </c>
      <c r="P31" s="5" t="s">
        <v>19</v>
      </c>
      <c r="Q31" s="5" t="s">
        <v>19</v>
      </c>
      <c r="R31" s="5" t="s">
        <v>19</v>
      </c>
      <c r="S31" s="16" t="s">
        <v>20</v>
      </c>
      <c r="T31" s="11" t="s">
        <v>20</v>
      </c>
    </row>
    <row r="32" spans="1:20" thickTop="1" thickBot="1" x14ac:dyDescent="0.35">
      <c r="A32" s="3" t="s">
        <v>137</v>
      </c>
      <c r="B32" s="4" t="s">
        <v>138</v>
      </c>
      <c r="C32" s="4">
        <v>2013</v>
      </c>
      <c r="D32" s="5" t="s">
        <v>85</v>
      </c>
      <c r="E32" s="5" t="s">
        <v>39</v>
      </c>
      <c r="F32" s="6">
        <f>488+8</f>
        <v>496</v>
      </c>
      <c r="G32" s="7">
        <f>494+10</f>
        <v>504</v>
      </c>
      <c r="H32" s="8" t="s">
        <v>139</v>
      </c>
      <c r="I32" s="2" t="str">
        <f>""</f>
        <v/>
      </c>
      <c r="J32" s="9" t="s">
        <v>140</v>
      </c>
      <c r="K32" s="4" t="s">
        <v>141</v>
      </c>
      <c r="L32" s="4" t="str">
        <f>""</f>
        <v/>
      </c>
      <c r="M32" s="2" t="str">
        <f>""</f>
        <v/>
      </c>
      <c r="N32" s="13">
        <v>41518</v>
      </c>
      <c r="O32" s="41"/>
      <c r="P32" s="5" t="s">
        <v>19</v>
      </c>
      <c r="Q32" s="10" t="s">
        <v>19</v>
      </c>
      <c r="R32" s="5" t="s">
        <v>19</v>
      </c>
      <c r="S32" s="2" t="s">
        <v>20</v>
      </c>
      <c r="T32" s="11" t="s">
        <v>20</v>
      </c>
    </row>
    <row r="33" spans="1:20" thickTop="1" thickBot="1" x14ac:dyDescent="0.35">
      <c r="A33" s="3" t="s">
        <v>142</v>
      </c>
      <c r="B33" s="4" t="s">
        <v>143</v>
      </c>
      <c r="C33" s="4">
        <v>1983</v>
      </c>
      <c r="D33" s="5" t="s">
        <v>45</v>
      </c>
      <c r="E33" s="5" t="s">
        <v>46</v>
      </c>
      <c r="F33" s="6">
        <f>410-4</f>
        <v>406</v>
      </c>
      <c r="G33" s="7">
        <v>420</v>
      </c>
      <c r="H33" s="8" t="s">
        <v>144</v>
      </c>
      <c r="I33" s="2">
        <v>14769</v>
      </c>
      <c r="J33" s="9" t="s">
        <v>57</v>
      </c>
      <c r="K33" s="4" t="s">
        <v>145</v>
      </c>
      <c r="L33" s="4" t="str">
        <f>""</f>
        <v/>
      </c>
      <c r="M33" s="2" t="s">
        <v>146</v>
      </c>
      <c r="N33" s="10">
        <v>43906</v>
      </c>
      <c r="O33" s="41"/>
      <c r="P33" s="5" t="s">
        <v>19</v>
      </c>
      <c r="Q33" s="10" t="s">
        <v>19</v>
      </c>
      <c r="R33" s="5" t="s">
        <v>19</v>
      </c>
      <c r="S33" s="2" t="s">
        <v>20</v>
      </c>
      <c r="T33" s="11" t="s">
        <v>20</v>
      </c>
    </row>
    <row r="34" spans="1:20" thickTop="1" thickBot="1" x14ac:dyDescent="0.35">
      <c r="A34" s="3" t="s">
        <v>999</v>
      </c>
      <c r="B34" s="4" t="s">
        <v>390</v>
      </c>
      <c r="C34" s="4">
        <v>1641</v>
      </c>
      <c r="D34" s="5" t="s">
        <v>23</v>
      </c>
      <c r="E34" s="5" t="s">
        <v>39</v>
      </c>
      <c r="F34" s="6">
        <f>118-26</f>
        <v>92</v>
      </c>
      <c r="G34" s="7">
        <v>196</v>
      </c>
      <c r="H34" s="8" t="s">
        <v>15</v>
      </c>
      <c r="I34" s="2">
        <v>4256</v>
      </c>
      <c r="J34" s="9" t="s">
        <v>25</v>
      </c>
      <c r="K34" s="4" t="s">
        <v>1000</v>
      </c>
      <c r="L34" s="4" t="s">
        <v>120</v>
      </c>
      <c r="N34" s="10">
        <v>45551</v>
      </c>
      <c r="O34" s="41">
        <v>4</v>
      </c>
      <c r="P34" s="5" t="s">
        <v>19</v>
      </c>
      <c r="Q34" s="5" t="s">
        <v>19</v>
      </c>
      <c r="R34" s="5" t="s">
        <v>20</v>
      </c>
      <c r="S34" s="16"/>
      <c r="T34" s="11" t="s">
        <v>20</v>
      </c>
    </row>
    <row r="35" spans="1:20" thickTop="1" thickBot="1" x14ac:dyDescent="0.35">
      <c r="A35" s="3" t="s">
        <v>1018</v>
      </c>
      <c r="B35" s="4" t="s">
        <v>650</v>
      </c>
      <c r="C35" s="4">
        <v>1863</v>
      </c>
      <c r="D35" s="5" t="s">
        <v>13</v>
      </c>
      <c r="E35" s="5" t="s">
        <v>39</v>
      </c>
      <c r="F35" s="6">
        <f>399-36</f>
        <v>363</v>
      </c>
      <c r="G35" s="7">
        <v>532</v>
      </c>
      <c r="H35" s="8" t="s">
        <v>15</v>
      </c>
      <c r="I35" s="2">
        <v>6747</v>
      </c>
      <c r="J35" s="9" t="s">
        <v>15</v>
      </c>
      <c r="K35" s="4" t="s">
        <v>1019</v>
      </c>
      <c r="L35" s="4" t="s">
        <v>1020</v>
      </c>
      <c r="N35" s="10">
        <v>43802</v>
      </c>
      <c r="O35" s="41">
        <v>5.8</v>
      </c>
      <c r="P35" s="5" t="s">
        <v>19</v>
      </c>
      <c r="Q35" s="5" t="s">
        <v>19</v>
      </c>
      <c r="R35" s="5" t="s">
        <v>20</v>
      </c>
      <c r="S35" s="16"/>
      <c r="T35" s="11" t="s">
        <v>20</v>
      </c>
    </row>
    <row r="36" spans="1:20" thickTop="1" thickBot="1" x14ac:dyDescent="0.35">
      <c r="A36" s="3" t="s">
        <v>147</v>
      </c>
      <c r="B36" s="4" t="s">
        <v>148</v>
      </c>
      <c r="C36" s="4">
        <v>1834</v>
      </c>
      <c r="D36" s="5" t="s">
        <v>13</v>
      </c>
      <c r="E36" s="5" t="s">
        <v>39</v>
      </c>
      <c r="F36" s="6">
        <f>77-38</f>
        <v>39</v>
      </c>
      <c r="G36" s="7">
        <v>148</v>
      </c>
      <c r="H36" s="8" t="s">
        <v>15</v>
      </c>
      <c r="I36" s="2">
        <v>6248</v>
      </c>
      <c r="J36" s="9" t="s">
        <v>25</v>
      </c>
      <c r="K36" s="4" t="s">
        <v>149</v>
      </c>
      <c r="L36" s="4" t="s">
        <v>150</v>
      </c>
      <c r="M36" s="4" t="str">
        <f>""</f>
        <v/>
      </c>
      <c r="N36" s="15">
        <v>44691</v>
      </c>
      <c r="O36" s="42">
        <v>3</v>
      </c>
      <c r="P36" s="5" t="s">
        <v>20</v>
      </c>
      <c r="Q36" s="10" t="s">
        <v>19</v>
      </c>
      <c r="R36" s="5" t="s">
        <v>19</v>
      </c>
      <c r="S36" s="2" t="s">
        <v>20</v>
      </c>
      <c r="T36" s="11" t="s">
        <v>20</v>
      </c>
    </row>
    <row r="37" spans="1:20" thickTop="1" thickBot="1" x14ac:dyDescent="0.35">
      <c r="A37" s="3" t="s">
        <v>151</v>
      </c>
      <c r="B37" s="4" t="s">
        <v>152</v>
      </c>
      <c r="C37" s="4">
        <v>2021</v>
      </c>
      <c r="D37" s="5" t="s">
        <v>45</v>
      </c>
      <c r="E37" s="5" t="s">
        <v>39</v>
      </c>
      <c r="F37" s="6">
        <f>230-4</f>
        <v>226</v>
      </c>
      <c r="G37" s="7">
        <v>244</v>
      </c>
      <c r="H37" s="8" t="s">
        <v>153</v>
      </c>
      <c r="I37" s="2" t="str">
        <f>""</f>
        <v/>
      </c>
      <c r="J37" s="9" t="str">
        <f>""</f>
        <v/>
      </c>
      <c r="K37" s="4" t="s">
        <v>154</v>
      </c>
      <c r="L37" s="4" t="str">
        <f>""</f>
        <v/>
      </c>
      <c r="M37" s="4" t="str">
        <f>""</f>
        <v/>
      </c>
      <c r="N37" s="13">
        <v>44440</v>
      </c>
      <c r="O37" s="41"/>
      <c r="P37" s="5" t="s">
        <v>19</v>
      </c>
      <c r="Q37" s="10" t="s">
        <v>19</v>
      </c>
      <c r="R37" s="5" t="s">
        <v>19</v>
      </c>
      <c r="S37" s="5" t="s">
        <v>20</v>
      </c>
      <c r="T37" s="11" t="s">
        <v>19</v>
      </c>
    </row>
    <row r="38" spans="1:20" thickTop="1" thickBot="1" x14ac:dyDescent="0.35">
      <c r="A38" s="3" t="s">
        <v>155</v>
      </c>
      <c r="B38" s="4" t="s">
        <v>156</v>
      </c>
      <c r="C38" s="4">
        <v>2006</v>
      </c>
      <c r="D38" s="5" t="s">
        <v>108</v>
      </c>
      <c r="E38" s="5" t="s">
        <v>39</v>
      </c>
      <c r="F38" s="6">
        <v>309</v>
      </c>
      <c r="G38" s="7">
        <v>324</v>
      </c>
      <c r="H38" s="8" t="s">
        <v>157</v>
      </c>
      <c r="I38" s="2" t="str">
        <f>""</f>
        <v/>
      </c>
      <c r="J38" s="9" t="str">
        <f>""</f>
        <v/>
      </c>
      <c r="K38" s="4" t="s">
        <v>158</v>
      </c>
      <c r="L38" s="2" t="str">
        <f>""</f>
        <v/>
      </c>
      <c r="M38" s="4" t="str">
        <f>""</f>
        <v/>
      </c>
      <c r="N38" s="13">
        <v>44713</v>
      </c>
      <c r="O38" s="41">
        <v>25</v>
      </c>
      <c r="P38" s="5" t="s">
        <v>19</v>
      </c>
      <c r="Q38" s="10" t="s">
        <v>19</v>
      </c>
      <c r="R38" s="5" t="s">
        <v>19</v>
      </c>
      <c r="S38" s="5" t="s">
        <v>19</v>
      </c>
      <c r="T38" s="11" t="s">
        <v>20</v>
      </c>
    </row>
    <row r="39" spans="1:20" thickTop="1" thickBot="1" x14ac:dyDescent="0.35">
      <c r="A39" s="3" t="s">
        <v>1205</v>
      </c>
      <c r="B39" s="4" t="s">
        <v>1206</v>
      </c>
      <c r="C39" s="4">
        <v>1998</v>
      </c>
      <c r="D39" s="5" t="s">
        <v>1097</v>
      </c>
      <c r="E39" s="5" t="s">
        <v>39</v>
      </c>
      <c r="F39" s="6">
        <v>25</v>
      </c>
      <c r="G39" s="7">
        <v>36</v>
      </c>
      <c r="H39" s="8" t="s">
        <v>1192</v>
      </c>
      <c r="K39" s="4" t="s">
        <v>1207</v>
      </c>
      <c r="M39" s="2"/>
      <c r="O39" s="41">
        <v>2.17</v>
      </c>
      <c r="P39" s="5" t="s">
        <v>19</v>
      </c>
      <c r="Q39" s="5" t="s">
        <v>19</v>
      </c>
      <c r="R39" s="5" t="s">
        <v>19</v>
      </c>
      <c r="S39" s="16" t="s">
        <v>20</v>
      </c>
      <c r="T39" s="11" t="s">
        <v>20</v>
      </c>
    </row>
    <row r="40" spans="1:20" thickTop="1" thickBot="1" x14ac:dyDescent="0.35">
      <c r="A40" s="3" t="s">
        <v>159</v>
      </c>
      <c r="B40" s="4" t="s">
        <v>165</v>
      </c>
      <c r="C40" s="4">
        <v>1697</v>
      </c>
      <c r="D40" s="5" t="s">
        <v>161</v>
      </c>
      <c r="E40" s="5" t="s">
        <v>39</v>
      </c>
      <c r="F40" s="6">
        <f>308-70</f>
        <v>238</v>
      </c>
      <c r="G40" s="7">
        <v>324</v>
      </c>
      <c r="H40" s="8" t="s">
        <v>57</v>
      </c>
      <c r="I40" s="2">
        <v>21026</v>
      </c>
      <c r="J40" s="9" t="s">
        <v>69</v>
      </c>
      <c r="K40" s="4" t="s">
        <v>166</v>
      </c>
      <c r="L40" s="2" t="s">
        <v>167</v>
      </c>
      <c r="M40" s="4" t="str">
        <f>""</f>
        <v/>
      </c>
      <c r="N40" s="13">
        <v>44409</v>
      </c>
      <c r="O40" s="41"/>
      <c r="P40" s="5" t="s">
        <v>19</v>
      </c>
      <c r="Q40" s="10" t="s">
        <v>19</v>
      </c>
      <c r="R40" s="5" t="s">
        <v>20</v>
      </c>
      <c r="S40" s="5" t="str">
        <f>""</f>
        <v/>
      </c>
      <c r="T40" s="11" t="s">
        <v>19</v>
      </c>
    </row>
    <row r="41" spans="1:20" thickTop="1" thickBot="1" x14ac:dyDescent="0.35">
      <c r="A41" s="3" t="s">
        <v>159</v>
      </c>
      <c r="B41" s="4" t="s">
        <v>168</v>
      </c>
      <c r="C41" s="4">
        <v>1863</v>
      </c>
      <c r="D41" s="5" t="s">
        <v>161</v>
      </c>
      <c r="E41" s="5" t="s">
        <v>31</v>
      </c>
      <c r="F41" s="6">
        <f>385-26</f>
        <v>359</v>
      </c>
      <c r="G41" s="7">
        <v>420</v>
      </c>
      <c r="H41" s="8" t="s">
        <v>15</v>
      </c>
      <c r="I41" s="2">
        <v>840</v>
      </c>
      <c r="J41" s="9" t="s">
        <v>25</v>
      </c>
      <c r="K41" s="4" t="s">
        <v>169</v>
      </c>
      <c r="L41" s="2" t="s">
        <v>170</v>
      </c>
      <c r="M41" s="2" t="str">
        <f>""</f>
        <v/>
      </c>
      <c r="N41" s="17">
        <v>44523</v>
      </c>
      <c r="O41" s="42"/>
      <c r="P41" s="5" t="s">
        <v>19</v>
      </c>
      <c r="Q41" s="10" t="s">
        <v>19</v>
      </c>
      <c r="R41" s="5" t="s">
        <v>20</v>
      </c>
      <c r="S41" s="2" t="str">
        <f>""</f>
        <v/>
      </c>
      <c r="T41" s="11" t="s">
        <v>20</v>
      </c>
    </row>
    <row r="42" spans="1:20" thickTop="1" thickBot="1" x14ac:dyDescent="0.35">
      <c r="A42" s="3" t="s">
        <v>159</v>
      </c>
      <c r="B42" s="4" t="s">
        <v>160</v>
      </c>
      <c r="C42" s="4">
        <v>1873</v>
      </c>
      <c r="D42" s="5" t="s">
        <v>161</v>
      </c>
      <c r="E42" s="5" t="s">
        <v>162</v>
      </c>
      <c r="F42" s="6">
        <f>442-32</f>
        <v>410</v>
      </c>
      <c r="G42" s="7">
        <v>452</v>
      </c>
      <c r="H42" s="8" t="s">
        <v>57</v>
      </c>
      <c r="I42" s="2">
        <v>16113</v>
      </c>
      <c r="J42" s="9" t="s">
        <v>69</v>
      </c>
      <c r="K42" s="4" t="s">
        <v>163</v>
      </c>
      <c r="L42" s="4" t="s">
        <v>164</v>
      </c>
      <c r="M42" s="4" t="s">
        <v>164</v>
      </c>
      <c r="N42" s="13">
        <v>44348</v>
      </c>
      <c r="O42" s="41">
        <v>6.9</v>
      </c>
      <c r="P42" s="5" t="s">
        <v>19</v>
      </c>
      <c r="Q42" s="10" t="s">
        <v>19</v>
      </c>
      <c r="R42" s="5" t="s">
        <v>19</v>
      </c>
      <c r="S42" s="2" t="s">
        <v>20</v>
      </c>
      <c r="T42" s="11" t="s">
        <v>20</v>
      </c>
    </row>
    <row r="43" spans="1:20" thickTop="1" thickBot="1" x14ac:dyDescent="0.35">
      <c r="A43" s="3" t="s">
        <v>1196</v>
      </c>
      <c r="B43" s="4" t="s">
        <v>1197</v>
      </c>
      <c r="C43" s="4">
        <v>2005</v>
      </c>
      <c r="D43" s="5" t="s">
        <v>1097</v>
      </c>
      <c r="E43" s="5" t="s">
        <v>39</v>
      </c>
      <c r="F43" s="6">
        <v>27</v>
      </c>
      <c r="G43" s="7">
        <v>36</v>
      </c>
      <c r="H43" s="8" t="s">
        <v>1192</v>
      </c>
      <c r="K43" s="4" t="s">
        <v>1198</v>
      </c>
      <c r="O43" s="41">
        <v>12</v>
      </c>
      <c r="P43" s="5" t="s">
        <v>19</v>
      </c>
      <c r="Q43" s="5" t="s">
        <v>19</v>
      </c>
      <c r="R43" s="5" t="s">
        <v>19</v>
      </c>
      <c r="S43" s="16" t="s">
        <v>20</v>
      </c>
      <c r="T43" s="11" t="s">
        <v>20</v>
      </c>
    </row>
    <row r="44" spans="1:20" thickTop="1" thickBot="1" x14ac:dyDescent="0.35">
      <c r="A44" s="3" t="s">
        <v>171</v>
      </c>
      <c r="B44" s="4" t="s">
        <v>172</v>
      </c>
      <c r="C44" s="4">
        <v>1866</v>
      </c>
      <c r="D44" s="5" t="s">
        <v>13</v>
      </c>
      <c r="E44" s="5" t="s">
        <v>68</v>
      </c>
      <c r="F44" s="6">
        <f>785-48</f>
        <v>737</v>
      </c>
      <c r="G44" s="7">
        <f>902/2</f>
        <v>451</v>
      </c>
      <c r="H44" s="8" t="s">
        <v>15</v>
      </c>
      <c r="I44" s="2">
        <v>2661</v>
      </c>
      <c r="J44" s="9" t="s">
        <v>25</v>
      </c>
      <c r="K44" s="4" t="s">
        <v>173</v>
      </c>
      <c r="L44" s="2" t="s">
        <v>174</v>
      </c>
      <c r="M44" s="4" t="s">
        <v>175</v>
      </c>
      <c r="N44" s="10">
        <v>44649</v>
      </c>
      <c r="O44" s="41" t="s">
        <v>989</v>
      </c>
      <c r="P44" s="5" t="s">
        <v>19</v>
      </c>
      <c r="Q44" s="10" t="s">
        <v>19</v>
      </c>
      <c r="R44" s="5" t="s">
        <v>19</v>
      </c>
      <c r="S44" s="5" t="s">
        <v>19</v>
      </c>
      <c r="T44" s="11" t="s">
        <v>20</v>
      </c>
    </row>
    <row r="45" spans="1:20" thickTop="1" thickBot="1" x14ac:dyDescent="0.35">
      <c r="A45" s="3" t="s">
        <v>176</v>
      </c>
      <c r="B45" s="4" t="s">
        <v>80</v>
      </c>
      <c r="C45" s="4">
        <v>-358</v>
      </c>
      <c r="D45" s="5" t="s">
        <v>30</v>
      </c>
      <c r="E45" s="5" t="s">
        <v>75</v>
      </c>
      <c r="F45" s="6">
        <f>378-350</f>
        <v>28</v>
      </c>
      <c r="G45" s="7">
        <f>502/2</f>
        <v>251</v>
      </c>
      <c r="H45" s="8" t="s">
        <v>15</v>
      </c>
      <c r="I45" s="2">
        <v>618</v>
      </c>
      <c r="J45" s="9" t="s">
        <v>32</v>
      </c>
      <c r="K45" s="4" t="s">
        <v>177</v>
      </c>
      <c r="L45" s="4" t="s">
        <v>82</v>
      </c>
      <c r="M45" s="2" t="s">
        <v>178</v>
      </c>
      <c r="N45" s="15">
        <v>45047</v>
      </c>
      <c r="O45" s="42">
        <v>10.9</v>
      </c>
      <c r="P45" s="5" t="s">
        <v>19</v>
      </c>
      <c r="Q45" s="10" t="s">
        <v>19</v>
      </c>
      <c r="R45" s="5" t="s">
        <v>19</v>
      </c>
      <c r="S45" s="2" t="s">
        <v>19</v>
      </c>
      <c r="T45" s="11" t="s">
        <v>20</v>
      </c>
    </row>
    <row r="46" spans="1:20" thickTop="1" thickBot="1" x14ac:dyDescent="0.35">
      <c r="A46" s="3" t="s">
        <v>179</v>
      </c>
      <c r="B46" s="4" t="s">
        <v>180</v>
      </c>
      <c r="C46" s="4">
        <v>1781</v>
      </c>
      <c r="D46" s="5" t="s">
        <v>30</v>
      </c>
      <c r="E46" s="5" t="s">
        <v>31</v>
      </c>
      <c r="F46" s="6">
        <f>688-56</f>
        <v>632</v>
      </c>
      <c r="G46" s="7">
        <v>772</v>
      </c>
      <c r="H46" s="8" t="s">
        <v>15</v>
      </c>
      <c r="I46" s="2">
        <v>1304</v>
      </c>
      <c r="J46" s="9" t="s">
        <v>32</v>
      </c>
      <c r="K46" s="4" t="s">
        <v>181</v>
      </c>
      <c r="L46" s="2" t="s">
        <v>182</v>
      </c>
      <c r="M46" s="2" t="s">
        <v>182</v>
      </c>
      <c r="N46" s="5" t="str">
        <f>""</f>
        <v/>
      </c>
      <c r="O46" s="41"/>
      <c r="P46" s="5" t="s">
        <v>19</v>
      </c>
      <c r="Q46" s="10" t="s">
        <v>19</v>
      </c>
      <c r="R46" s="5" t="s">
        <v>20</v>
      </c>
      <c r="S46" s="2" t="str">
        <f>""</f>
        <v/>
      </c>
      <c r="T46" s="11" t="s">
        <v>20</v>
      </c>
    </row>
    <row r="47" spans="1:20" thickTop="1" thickBot="1" x14ac:dyDescent="0.35">
      <c r="A47" s="3" t="s">
        <v>183</v>
      </c>
      <c r="B47" s="4" t="s">
        <v>80</v>
      </c>
      <c r="C47" s="4">
        <v>-390</v>
      </c>
      <c r="D47" s="5" t="s">
        <v>30</v>
      </c>
      <c r="E47" s="5" t="s">
        <v>75</v>
      </c>
      <c r="F47" s="6">
        <f>212-184</f>
        <v>28</v>
      </c>
      <c r="G47" s="7">
        <f>276/2</f>
        <v>138</v>
      </c>
      <c r="H47" s="8" t="s">
        <v>15</v>
      </c>
      <c r="I47" s="2">
        <v>848</v>
      </c>
      <c r="J47" s="2" t="s">
        <v>32</v>
      </c>
      <c r="K47" s="4" t="s">
        <v>81</v>
      </c>
      <c r="L47" s="2" t="s">
        <v>82</v>
      </c>
      <c r="M47" s="2" t="s">
        <v>82</v>
      </c>
      <c r="N47" s="17">
        <v>44044</v>
      </c>
      <c r="O47" s="42">
        <v>0</v>
      </c>
      <c r="P47" s="5" t="s">
        <v>19</v>
      </c>
      <c r="Q47" s="10" t="s">
        <v>19</v>
      </c>
      <c r="R47" s="5" t="s">
        <v>19</v>
      </c>
      <c r="S47" s="5" t="s">
        <v>19</v>
      </c>
      <c r="T47" s="11" t="s">
        <v>20</v>
      </c>
    </row>
    <row r="48" spans="1:20" thickTop="1" thickBot="1" x14ac:dyDescent="0.35">
      <c r="A48" s="3" t="s">
        <v>184</v>
      </c>
      <c r="B48" s="4" t="s">
        <v>185</v>
      </c>
      <c r="C48" s="4">
        <v>1906</v>
      </c>
      <c r="D48" s="5" t="s">
        <v>13</v>
      </c>
      <c r="E48" s="5" t="s">
        <v>46</v>
      </c>
      <c r="F48" s="6">
        <f>338-3+1</f>
        <v>336</v>
      </c>
      <c r="G48" s="7">
        <v>372</v>
      </c>
      <c r="H48" s="8" t="s">
        <v>186</v>
      </c>
      <c r="I48" s="2">
        <v>493</v>
      </c>
      <c r="J48" s="9" t="s">
        <v>187</v>
      </c>
      <c r="K48" s="4" t="s">
        <v>188</v>
      </c>
      <c r="L48" s="4" t="str">
        <f>""</f>
        <v/>
      </c>
      <c r="M48" s="2" t="s">
        <v>189</v>
      </c>
      <c r="N48" s="13">
        <v>41487</v>
      </c>
      <c r="O48" s="41"/>
      <c r="P48" s="5" t="s">
        <v>19</v>
      </c>
      <c r="Q48" s="10" t="s">
        <v>19</v>
      </c>
      <c r="R48" s="5" t="s">
        <v>19</v>
      </c>
      <c r="S48" s="2" t="s">
        <v>19</v>
      </c>
      <c r="T48" s="11" t="s">
        <v>20</v>
      </c>
    </row>
    <row r="49" spans="1:20" thickTop="1" thickBot="1" x14ac:dyDescent="0.35">
      <c r="A49" s="3" t="s">
        <v>190</v>
      </c>
      <c r="B49" s="4" t="s">
        <v>191</v>
      </c>
      <c r="C49" s="4">
        <v>1897</v>
      </c>
      <c r="D49" s="5" t="s">
        <v>23</v>
      </c>
      <c r="E49" s="5" t="s">
        <v>39</v>
      </c>
      <c r="F49" s="6">
        <f>418-32</f>
        <v>386</v>
      </c>
      <c r="G49" s="7">
        <v>470</v>
      </c>
      <c r="H49" s="8" t="s">
        <v>15</v>
      </c>
      <c r="I49" s="2">
        <v>3246</v>
      </c>
      <c r="J49" s="2" t="s">
        <v>25</v>
      </c>
      <c r="K49" s="4" t="s">
        <v>192</v>
      </c>
      <c r="L49" s="2" t="s">
        <v>193</v>
      </c>
      <c r="M49" s="2" t="str">
        <f>""</f>
        <v/>
      </c>
      <c r="N49" s="10">
        <v>44117</v>
      </c>
      <c r="O49" s="41">
        <v>3</v>
      </c>
      <c r="P49" s="5" t="s">
        <v>19</v>
      </c>
      <c r="Q49" s="10" t="s">
        <v>19</v>
      </c>
      <c r="R49" s="5" t="s">
        <v>19</v>
      </c>
      <c r="S49" s="2" t="s">
        <v>19</v>
      </c>
      <c r="T49" s="11" t="s">
        <v>20</v>
      </c>
    </row>
    <row r="50" spans="1:20" thickTop="1" thickBot="1" x14ac:dyDescent="0.35">
      <c r="A50" s="3" t="s">
        <v>194</v>
      </c>
      <c r="B50" s="4" t="s">
        <v>55</v>
      </c>
      <c r="C50" s="4">
        <v>2004</v>
      </c>
      <c r="D50" s="5" t="s">
        <v>45</v>
      </c>
      <c r="E50" s="5" t="s">
        <v>46</v>
      </c>
      <c r="F50" s="6">
        <f>610-5+1</f>
        <v>606</v>
      </c>
      <c r="G50" s="7">
        <v>628</v>
      </c>
      <c r="H50" s="8" t="s">
        <v>56</v>
      </c>
      <c r="I50" s="2">
        <v>33451</v>
      </c>
      <c r="J50" s="9" t="s">
        <v>57</v>
      </c>
      <c r="K50" s="4" t="s">
        <v>195</v>
      </c>
      <c r="L50" s="4" t="str">
        <f>""</f>
        <v/>
      </c>
      <c r="M50" s="2" t="s">
        <v>59</v>
      </c>
      <c r="N50" s="10">
        <v>42099</v>
      </c>
      <c r="O50" s="41"/>
      <c r="P50" s="5" t="s">
        <v>19</v>
      </c>
      <c r="Q50" s="10" t="s">
        <v>19</v>
      </c>
      <c r="R50" s="5" t="s">
        <v>19</v>
      </c>
      <c r="S50" s="5" t="s">
        <v>19</v>
      </c>
      <c r="T50" s="11" t="s">
        <v>20</v>
      </c>
    </row>
    <row r="51" spans="1:20" thickTop="1" thickBot="1" x14ac:dyDescent="0.35">
      <c r="A51" s="3" t="s">
        <v>196</v>
      </c>
      <c r="B51" s="4" t="s">
        <v>197</v>
      </c>
      <c r="C51" s="4">
        <v>1994</v>
      </c>
      <c r="D51" s="5" t="s">
        <v>108</v>
      </c>
      <c r="E51" s="5" t="s">
        <v>31</v>
      </c>
      <c r="F51" s="6">
        <f>737-4</f>
        <v>733</v>
      </c>
      <c r="G51" s="7">
        <v>786</v>
      </c>
      <c r="H51" s="8" t="s">
        <v>91</v>
      </c>
      <c r="I51" s="2" t="str">
        <f>""</f>
        <v/>
      </c>
      <c r="J51" s="9" t="s">
        <v>92</v>
      </c>
      <c r="K51" s="4" t="s">
        <v>198</v>
      </c>
      <c r="L51" s="4" t="str">
        <f>""</f>
        <v/>
      </c>
      <c r="M51" s="2" t="str">
        <f>""</f>
        <v/>
      </c>
      <c r="N51" s="5" t="str">
        <f>""</f>
        <v/>
      </c>
      <c r="O51" s="41">
        <v>20</v>
      </c>
      <c r="P51" s="5" t="s">
        <v>19</v>
      </c>
      <c r="Q51" s="10" t="s">
        <v>19</v>
      </c>
      <c r="R51" s="5" t="s">
        <v>20</v>
      </c>
      <c r="S51" s="2" t="str">
        <f>""</f>
        <v/>
      </c>
      <c r="T51" s="11" t="s">
        <v>20</v>
      </c>
    </row>
    <row r="52" spans="1:20" thickTop="1" thickBot="1" x14ac:dyDescent="0.35">
      <c r="A52" s="3" t="s">
        <v>199</v>
      </c>
      <c r="B52" s="4" t="s">
        <v>200</v>
      </c>
      <c r="C52" s="4">
        <v>-330</v>
      </c>
      <c r="D52" s="5" t="s">
        <v>30</v>
      </c>
      <c r="E52" s="5" t="s">
        <v>75</v>
      </c>
      <c r="F52" s="6">
        <f>299-76</f>
        <v>223</v>
      </c>
      <c r="G52" s="7">
        <v>342</v>
      </c>
      <c r="H52" s="8" t="s">
        <v>15</v>
      </c>
      <c r="I52" s="2">
        <v>711</v>
      </c>
      <c r="J52" s="9" t="s">
        <v>32</v>
      </c>
      <c r="K52" s="4" t="s">
        <v>201</v>
      </c>
      <c r="L52" s="4" t="s">
        <v>202</v>
      </c>
      <c r="M52" s="2" t="s">
        <v>202</v>
      </c>
      <c r="N52" s="13">
        <v>44470</v>
      </c>
      <c r="O52" s="41"/>
      <c r="P52" s="5" t="s">
        <v>19</v>
      </c>
      <c r="Q52" s="10" t="s">
        <v>19</v>
      </c>
      <c r="R52" s="5" t="s">
        <v>20</v>
      </c>
      <c r="S52" s="2" t="str">
        <f>""</f>
        <v/>
      </c>
      <c r="T52" s="11" t="s">
        <v>20</v>
      </c>
    </row>
    <row r="53" spans="1:20" thickTop="1" thickBot="1" x14ac:dyDescent="0.35">
      <c r="A53" s="3" t="s">
        <v>203</v>
      </c>
      <c r="B53" s="4" t="s">
        <v>204</v>
      </c>
      <c r="C53" s="4">
        <v>1353</v>
      </c>
      <c r="D53" s="5" t="s">
        <v>161</v>
      </c>
      <c r="E53" s="5" t="s">
        <v>130</v>
      </c>
      <c r="F53" s="6">
        <f>862-28</f>
        <v>834</v>
      </c>
      <c r="G53" s="7">
        <v>900</v>
      </c>
      <c r="H53" s="8" t="s">
        <v>57</v>
      </c>
      <c r="I53" s="2">
        <v>702</v>
      </c>
      <c r="J53" s="9" t="s">
        <v>69</v>
      </c>
      <c r="K53" s="4" t="s">
        <v>205</v>
      </c>
      <c r="L53" s="4" t="s">
        <v>206</v>
      </c>
      <c r="M53" s="2" t="s">
        <v>207</v>
      </c>
      <c r="N53" s="10">
        <v>44044</v>
      </c>
      <c r="O53" s="41"/>
      <c r="P53" s="5" t="s">
        <v>19</v>
      </c>
      <c r="Q53" s="10" t="s">
        <v>19</v>
      </c>
      <c r="R53" s="5" t="s">
        <v>19</v>
      </c>
      <c r="S53" s="2" t="s">
        <v>19</v>
      </c>
      <c r="T53" s="11" t="s">
        <v>20</v>
      </c>
    </row>
    <row r="54" spans="1:20" thickTop="1" thickBot="1" x14ac:dyDescent="0.35">
      <c r="A54" s="3" t="s">
        <v>208</v>
      </c>
      <c r="B54" s="4" t="s">
        <v>55</v>
      </c>
      <c r="C54" s="4">
        <v>2001</v>
      </c>
      <c r="D54" s="5" t="s">
        <v>45</v>
      </c>
      <c r="E54" s="5" t="s">
        <v>46</v>
      </c>
      <c r="F54" s="6">
        <v>696</v>
      </c>
      <c r="G54" s="7">
        <v>708</v>
      </c>
      <c r="H54" s="8" t="s">
        <v>56</v>
      </c>
      <c r="I54" s="2">
        <v>37238</v>
      </c>
      <c r="J54" s="9" t="s">
        <v>57</v>
      </c>
      <c r="K54" s="4" t="s">
        <v>209</v>
      </c>
      <c r="L54" s="4" t="str">
        <f>""</f>
        <v/>
      </c>
      <c r="M54" s="2" t="s">
        <v>59</v>
      </c>
      <c r="N54" s="10">
        <v>42414</v>
      </c>
      <c r="O54" s="41"/>
      <c r="P54" s="5" t="s">
        <v>19</v>
      </c>
      <c r="Q54" s="10" t="s">
        <v>19</v>
      </c>
      <c r="R54" s="5" t="s">
        <v>19</v>
      </c>
      <c r="S54" s="2" t="s">
        <v>19</v>
      </c>
      <c r="T54" s="11" t="s">
        <v>20</v>
      </c>
    </row>
    <row r="55" spans="1:20" thickTop="1" thickBot="1" x14ac:dyDescent="0.35">
      <c r="A55" s="3" t="s">
        <v>210</v>
      </c>
      <c r="B55" s="4" t="s">
        <v>211</v>
      </c>
      <c r="C55" s="4">
        <v>1895</v>
      </c>
      <c r="D55" s="5" t="s">
        <v>38</v>
      </c>
      <c r="E55" s="5" t="s">
        <v>39</v>
      </c>
      <c r="F55" s="6">
        <f>189-184</f>
        <v>5</v>
      </c>
      <c r="G55" s="7">
        <v>37</v>
      </c>
      <c r="H55" s="8" t="s">
        <v>15</v>
      </c>
      <c r="I55" s="2">
        <v>1459</v>
      </c>
      <c r="J55" s="9" t="s">
        <v>32</v>
      </c>
      <c r="K55" s="4" t="s">
        <v>212</v>
      </c>
      <c r="L55" s="4" t="s">
        <v>213</v>
      </c>
      <c r="M55" s="2" t="str">
        <f>""</f>
        <v/>
      </c>
      <c r="N55" s="5" t="str">
        <f>""</f>
        <v/>
      </c>
      <c r="O55" s="41">
        <v>0</v>
      </c>
      <c r="P55" s="5" t="s">
        <v>20</v>
      </c>
      <c r="Q55" s="10" t="s">
        <v>19</v>
      </c>
      <c r="R55" s="5" t="s">
        <v>20</v>
      </c>
      <c r="S55" s="5" t="str">
        <f>""</f>
        <v/>
      </c>
      <c r="T55" s="11" t="s">
        <v>20</v>
      </c>
    </row>
    <row r="56" spans="1:20" thickTop="1" thickBot="1" x14ac:dyDescent="0.35">
      <c r="A56" s="3" t="s">
        <v>214</v>
      </c>
      <c r="B56" s="4" t="s">
        <v>215</v>
      </c>
      <c r="C56" s="4">
        <v>1982</v>
      </c>
      <c r="D56" s="5" t="s">
        <v>62</v>
      </c>
      <c r="E56" s="5" t="s">
        <v>39</v>
      </c>
      <c r="F56" s="6">
        <f>1201</f>
        <v>1201</v>
      </c>
      <c r="G56" s="7">
        <f>1201+42+2+37</f>
        <v>1282</v>
      </c>
      <c r="H56" s="8" t="s">
        <v>216</v>
      </c>
      <c r="I56" s="2" t="str">
        <f>""</f>
        <v/>
      </c>
      <c r="J56" s="9" t="s">
        <v>217</v>
      </c>
      <c r="K56" s="4" t="s">
        <v>218</v>
      </c>
      <c r="L56" s="4" t="str">
        <f>""</f>
        <v/>
      </c>
      <c r="M56" s="4" t="str">
        <f>""</f>
        <v/>
      </c>
      <c r="N56" s="10">
        <v>42767</v>
      </c>
      <c r="O56" s="41"/>
      <c r="P56" s="5" t="s">
        <v>19</v>
      </c>
      <c r="Q56" s="10" t="s">
        <v>19</v>
      </c>
      <c r="R56" s="5" t="s">
        <v>20</v>
      </c>
      <c r="S56" s="2" t="str">
        <f>""</f>
        <v/>
      </c>
      <c r="T56" s="11" t="s">
        <v>20</v>
      </c>
    </row>
    <row r="57" spans="1:20" thickTop="1" thickBot="1" x14ac:dyDescent="0.35">
      <c r="A57" s="3" t="s">
        <v>219</v>
      </c>
      <c r="B57" s="4" t="s">
        <v>220</v>
      </c>
      <c r="C57" s="4">
        <v>2010</v>
      </c>
      <c r="D57" s="5" t="s">
        <v>62</v>
      </c>
      <c r="E57" s="5" t="s">
        <v>39</v>
      </c>
      <c r="F57" s="6">
        <f>1751</f>
        <v>1751</v>
      </c>
      <c r="G57" s="7">
        <v>1760</v>
      </c>
      <c r="H57" s="8" t="s">
        <v>221</v>
      </c>
      <c r="I57" s="2" t="str">
        <f>""</f>
        <v/>
      </c>
      <c r="J57" s="9" t="str">
        <f>""</f>
        <v/>
      </c>
      <c r="K57" s="4" t="s">
        <v>222</v>
      </c>
      <c r="L57" s="4" t="str">
        <f>""</f>
        <v/>
      </c>
      <c r="M57" s="4" t="str">
        <f>""</f>
        <v/>
      </c>
      <c r="N57" s="5" t="str">
        <f>""</f>
        <v/>
      </c>
      <c r="O57" s="41"/>
      <c r="P57" s="5" t="s">
        <v>19</v>
      </c>
      <c r="Q57" s="10" t="s">
        <v>19</v>
      </c>
      <c r="R57" s="5" t="s">
        <v>19</v>
      </c>
      <c r="S57" s="2" t="s">
        <v>20</v>
      </c>
      <c r="T57" s="11" t="s">
        <v>20</v>
      </c>
    </row>
    <row r="58" spans="1:20" thickTop="1" thickBot="1" x14ac:dyDescent="0.35">
      <c r="A58" s="3" t="s">
        <v>223</v>
      </c>
      <c r="B58" s="4" t="s">
        <v>125</v>
      </c>
      <c r="C58" s="4">
        <v>1764</v>
      </c>
      <c r="D58" s="5" t="s">
        <v>30</v>
      </c>
      <c r="E58" s="5" t="s">
        <v>39</v>
      </c>
      <c r="F58" s="6">
        <f>508-32</f>
        <v>476</v>
      </c>
      <c r="G58" s="7">
        <v>564</v>
      </c>
      <c r="H58" s="8" t="s">
        <v>15</v>
      </c>
      <c r="I58" s="2">
        <v>2630</v>
      </c>
      <c r="J58" s="9" t="s">
        <v>25</v>
      </c>
      <c r="K58" s="4" t="s">
        <v>224</v>
      </c>
      <c r="L58" s="2" t="s">
        <v>225</v>
      </c>
      <c r="M58" s="2" t="str">
        <f>""</f>
        <v/>
      </c>
      <c r="N58" s="10">
        <v>44361</v>
      </c>
      <c r="O58" s="41" t="s">
        <v>986</v>
      </c>
      <c r="P58" s="5" t="s">
        <v>19</v>
      </c>
      <c r="Q58" s="10" t="s">
        <v>19</v>
      </c>
      <c r="R58" s="5" t="s">
        <v>20</v>
      </c>
      <c r="S58" s="2" t="str">
        <f>""</f>
        <v/>
      </c>
      <c r="T58" s="11" t="s">
        <v>20</v>
      </c>
    </row>
    <row r="59" spans="1:20" thickTop="1" thickBot="1" x14ac:dyDescent="0.35">
      <c r="A59" s="3" t="s">
        <v>223</v>
      </c>
      <c r="B59" s="4" t="s">
        <v>226</v>
      </c>
      <c r="C59" s="4">
        <v>2001</v>
      </c>
      <c r="D59" s="5" t="s">
        <v>30</v>
      </c>
      <c r="E59" s="5" t="s">
        <v>39</v>
      </c>
      <c r="F59" s="6">
        <f>1411</f>
        <v>1411</v>
      </c>
      <c r="G59" s="7">
        <f>1430+12</f>
        <v>1442</v>
      </c>
      <c r="H59" s="8" t="s">
        <v>227</v>
      </c>
      <c r="I59" s="2" t="str">
        <f>""</f>
        <v/>
      </c>
      <c r="J59" s="9" t="str">
        <f>""</f>
        <v/>
      </c>
      <c r="K59" s="4" t="s">
        <v>228</v>
      </c>
      <c r="L59" s="4" t="str">
        <f>""</f>
        <v/>
      </c>
      <c r="M59" s="2" t="str">
        <f>""</f>
        <v/>
      </c>
      <c r="N59" s="15">
        <v>45017</v>
      </c>
      <c r="O59" s="42"/>
      <c r="P59" s="5" t="s">
        <v>19</v>
      </c>
      <c r="Q59" s="10" t="s">
        <v>19</v>
      </c>
      <c r="R59" s="5" t="s">
        <v>20</v>
      </c>
      <c r="S59" s="2" t="str">
        <f>""</f>
        <v/>
      </c>
      <c r="T59" s="11" t="s">
        <v>19</v>
      </c>
    </row>
    <row r="60" spans="1:20" thickTop="1" thickBot="1" x14ac:dyDescent="0.35">
      <c r="A60" s="3" t="s">
        <v>229</v>
      </c>
      <c r="B60" s="4" t="s">
        <v>230</v>
      </c>
      <c r="C60" s="4">
        <v>1637</v>
      </c>
      <c r="D60" s="5" t="s">
        <v>30</v>
      </c>
      <c r="E60" s="5" t="s">
        <v>39</v>
      </c>
      <c r="F60" s="6">
        <f>113-24</f>
        <v>89</v>
      </c>
      <c r="G60" s="7">
        <v>196</v>
      </c>
      <c r="H60" s="8" t="s">
        <v>15</v>
      </c>
      <c r="I60" s="2">
        <v>1091</v>
      </c>
      <c r="J60" s="9" t="s">
        <v>32</v>
      </c>
      <c r="K60" s="4" t="s">
        <v>231</v>
      </c>
      <c r="L60" s="4" t="s">
        <v>232</v>
      </c>
      <c r="M60" s="2" t="str">
        <f>""</f>
        <v/>
      </c>
      <c r="N60" s="10">
        <v>44013</v>
      </c>
      <c r="O60" s="41">
        <v>3.8</v>
      </c>
      <c r="P60" s="5" t="s">
        <v>19</v>
      </c>
      <c r="Q60" s="10" t="s">
        <v>19</v>
      </c>
      <c r="R60" s="5" t="s">
        <v>19</v>
      </c>
      <c r="S60" s="2" t="s">
        <v>20</v>
      </c>
      <c r="T60" s="11" t="s">
        <v>20</v>
      </c>
    </row>
    <row r="61" spans="1:20" thickTop="1" thickBot="1" x14ac:dyDescent="0.35">
      <c r="A61" s="3" t="s">
        <v>233</v>
      </c>
      <c r="B61" s="4" t="s">
        <v>234</v>
      </c>
      <c r="C61" s="4">
        <v>1576</v>
      </c>
      <c r="D61" s="5" t="s">
        <v>30</v>
      </c>
      <c r="E61" s="5" t="s">
        <v>39</v>
      </c>
      <c r="F61" s="6">
        <f>157-104</f>
        <v>53</v>
      </c>
      <c r="G61" s="7">
        <v>244</v>
      </c>
      <c r="H61" s="8" t="s">
        <v>15</v>
      </c>
      <c r="I61" s="2">
        <v>394</v>
      </c>
      <c r="J61" s="9" t="s">
        <v>32</v>
      </c>
      <c r="K61" s="4" t="s">
        <v>235</v>
      </c>
      <c r="L61" s="4" t="s">
        <v>236</v>
      </c>
      <c r="M61" s="2" t="str">
        <f>""</f>
        <v/>
      </c>
      <c r="N61" s="15">
        <v>44743</v>
      </c>
      <c r="O61" s="42"/>
      <c r="P61" s="5" t="s">
        <v>19</v>
      </c>
      <c r="Q61" s="10" t="s">
        <v>19</v>
      </c>
      <c r="R61" s="5" t="s">
        <v>20</v>
      </c>
      <c r="S61" s="2" t="str">
        <f>""</f>
        <v/>
      </c>
      <c r="T61" s="11" t="s">
        <v>20</v>
      </c>
    </row>
    <row r="62" spans="1:20" thickTop="1" thickBot="1" x14ac:dyDescent="0.35">
      <c r="A62" s="3" t="s">
        <v>237</v>
      </c>
      <c r="B62" s="4" t="s">
        <v>238</v>
      </c>
      <c r="C62" s="4">
        <v>1848</v>
      </c>
      <c r="D62" s="5" t="s">
        <v>30</v>
      </c>
      <c r="E62" s="5" t="s">
        <v>39</v>
      </c>
      <c r="F62" s="6">
        <f>425-34</f>
        <v>391</v>
      </c>
      <c r="G62" s="7">
        <v>484</v>
      </c>
      <c r="H62" s="8" t="s">
        <v>15</v>
      </c>
      <c r="I62" s="2">
        <v>991</v>
      </c>
      <c r="J62" s="9" t="s">
        <v>32</v>
      </c>
      <c r="K62" s="4" t="s">
        <v>239</v>
      </c>
      <c r="L62" s="4" t="s">
        <v>240</v>
      </c>
      <c r="M62" s="2" t="str">
        <f>""</f>
        <v/>
      </c>
      <c r="N62" s="10">
        <v>44287</v>
      </c>
      <c r="O62" s="41"/>
      <c r="P62" s="5" t="s">
        <v>19</v>
      </c>
      <c r="Q62" s="10" t="s">
        <v>19</v>
      </c>
      <c r="R62" s="5" t="s">
        <v>20</v>
      </c>
      <c r="S62" s="2" t="str">
        <f>""</f>
        <v/>
      </c>
      <c r="T62" s="11" t="s">
        <v>20</v>
      </c>
    </row>
    <row r="63" spans="1:20" thickTop="1" thickBot="1" x14ac:dyDescent="0.35">
      <c r="A63" s="3" t="s">
        <v>241</v>
      </c>
      <c r="B63" s="4" t="s">
        <v>242</v>
      </c>
      <c r="C63" s="4">
        <v>1749</v>
      </c>
      <c r="D63" s="5" t="s">
        <v>30</v>
      </c>
      <c r="E63" s="5" t="s">
        <v>39</v>
      </c>
      <c r="F63" s="6">
        <f>143-22</f>
        <v>121</v>
      </c>
      <c r="G63" s="7">
        <f>292/2</f>
        <v>146</v>
      </c>
      <c r="H63" s="8" t="s">
        <v>15</v>
      </c>
      <c r="I63" s="2">
        <v>243</v>
      </c>
      <c r="J63" s="2" t="s">
        <v>32</v>
      </c>
      <c r="K63" s="4" t="s">
        <v>243</v>
      </c>
      <c r="L63" s="2" t="s">
        <v>244</v>
      </c>
      <c r="M63" s="2" t="str">
        <f>""</f>
        <v/>
      </c>
      <c r="N63" s="10">
        <v>43983</v>
      </c>
      <c r="O63" s="41"/>
      <c r="P63" s="5" t="s">
        <v>19</v>
      </c>
      <c r="Q63" s="10" t="s">
        <v>19</v>
      </c>
      <c r="R63" s="5" t="s">
        <v>20</v>
      </c>
      <c r="S63" s="5" t="str">
        <f>""</f>
        <v/>
      </c>
      <c r="T63" s="11" t="s">
        <v>20</v>
      </c>
    </row>
    <row r="64" spans="1:20" thickTop="1" thickBot="1" x14ac:dyDescent="0.35">
      <c r="A64" s="14" t="s">
        <v>245</v>
      </c>
      <c r="B64" s="4" t="s">
        <v>242</v>
      </c>
      <c r="C64" s="4">
        <v>1755</v>
      </c>
      <c r="D64" s="5" t="s">
        <v>30</v>
      </c>
      <c r="E64" s="5" t="s">
        <v>39</v>
      </c>
      <c r="F64" s="6">
        <f>272-144</f>
        <v>128</v>
      </c>
      <c r="G64" s="7">
        <f>292/2</f>
        <v>146</v>
      </c>
      <c r="H64" s="8" t="s">
        <v>15</v>
      </c>
      <c r="I64" s="2">
        <v>243</v>
      </c>
      <c r="J64" s="9" t="s">
        <v>32</v>
      </c>
      <c r="K64" s="4" t="s">
        <v>243</v>
      </c>
      <c r="L64" s="4" t="s">
        <v>244</v>
      </c>
      <c r="M64" s="4" t="str">
        <f>""</f>
        <v/>
      </c>
      <c r="N64" s="15">
        <v>43983</v>
      </c>
      <c r="O64" s="42"/>
      <c r="P64" s="5" t="s">
        <v>19</v>
      </c>
      <c r="Q64" s="10" t="s">
        <v>19</v>
      </c>
      <c r="R64" s="5" t="s">
        <v>20</v>
      </c>
      <c r="S64" s="5" t="str">
        <f>""</f>
        <v/>
      </c>
      <c r="T64" s="11" t="s">
        <v>19</v>
      </c>
    </row>
    <row r="65" spans="1:20" thickTop="1" thickBot="1" x14ac:dyDescent="0.35">
      <c r="A65" s="3" t="s">
        <v>246</v>
      </c>
      <c r="B65" s="4" t="s">
        <v>247</v>
      </c>
      <c r="C65" s="4">
        <v>1682</v>
      </c>
      <c r="D65" s="5" t="s">
        <v>23</v>
      </c>
      <c r="E65" s="5" t="s">
        <v>39</v>
      </c>
      <c r="F65" s="6">
        <f>158-24</f>
        <v>134</v>
      </c>
      <c r="G65" s="7">
        <v>180</v>
      </c>
      <c r="H65" s="8" t="s">
        <v>15</v>
      </c>
      <c r="I65" s="2">
        <v>3229</v>
      </c>
      <c r="J65" s="9" t="s">
        <v>25</v>
      </c>
      <c r="K65" s="4" t="s">
        <v>248</v>
      </c>
      <c r="L65" s="4" t="s">
        <v>249</v>
      </c>
      <c r="M65" s="2" t="str">
        <f>""</f>
        <v/>
      </c>
      <c r="N65" s="10">
        <v>44837</v>
      </c>
      <c r="O65" s="41">
        <v>2</v>
      </c>
      <c r="P65" s="5" t="s">
        <v>19</v>
      </c>
      <c r="Q65" s="10" t="s">
        <v>19</v>
      </c>
      <c r="R65" s="5" t="s">
        <v>19</v>
      </c>
      <c r="S65" s="5" t="s">
        <v>20</v>
      </c>
      <c r="T65" s="11" t="s">
        <v>20</v>
      </c>
    </row>
    <row r="66" spans="1:20" thickTop="1" thickBot="1" x14ac:dyDescent="0.35">
      <c r="A66" s="3" t="s">
        <v>250</v>
      </c>
      <c r="B66" s="4" t="s">
        <v>251</v>
      </c>
      <c r="C66" s="4">
        <v>1605</v>
      </c>
      <c r="D66" s="5" t="s">
        <v>13</v>
      </c>
      <c r="E66" s="5" t="s">
        <v>252</v>
      </c>
      <c r="F66" s="6">
        <f>718-60</f>
        <v>658</v>
      </c>
      <c r="G66" s="7">
        <v>884</v>
      </c>
      <c r="H66" s="8" t="s">
        <v>15</v>
      </c>
      <c r="I66" s="2">
        <v>5157</v>
      </c>
      <c r="J66" s="9" t="s">
        <v>25</v>
      </c>
      <c r="K66" s="4" t="s">
        <v>253</v>
      </c>
      <c r="L66" s="4" t="s">
        <v>254</v>
      </c>
      <c r="M66" s="2" t="s">
        <v>254</v>
      </c>
      <c r="N66" s="15">
        <v>44406</v>
      </c>
      <c r="O66" s="42" t="s">
        <v>997</v>
      </c>
      <c r="P66" s="5" t="s">
        <v>19</v>
      </c>
      <c r="Q66" s="10" t="s">
        <v>19</v>
      </c>
      <c r="R66" s="5" t="s">
        <v>19</v>
      </c>
      <c r="S66" s="5" t="s">
        <v>20</v>
      </c>
      <c r="T66" s="11" t="s">
        <v>19</v>
      </c>
    </row>
    <row r="67" spans="1:20" thickTop="1" thickBot="1" x14ac:dyDescent="0.35">
      <c r="A67" s="3" t="s">
        <v>255</v>
      </c>
      <c r="B67" s="4" t="s">
        <v>251</v>
      </c>
      <c r="C67" s="4">
        <v>1615</v>
      </c>
      <c r="D67" s="5" t="s">
        <v>13</v>
      </c>
      <c r="E67" s="5" t="s">
        <v>252</v>
      </c>
      <c r="F67" s="6">
        <f>680-4</f>
        <v>676</v>
      </c>
      <c r="G67" s="7">
        <v>772</v>
      </c>
      <c r="H67" s="8" t="s">
        <v>15</v>
      </c>
      <c r="I67" s="2">
        <v>5158</v>
      </c>
      <c r="J67" s="2" t="s">
        <v>25</v>
      </c>
      <c r="K67" s="4" t="s">
        <v>256</v>
      </c>
      <c r="L67" s="2" t="s">
        <v>254</v>
      </c>
      <c r="M67" s="2" t="s">
        <v>254</v>
      </c>
      <c r="N67" s="10">
        <v>44217</v>
      </c>
      <c r="O67" s="41" t="s">
        <v>998</v>
      </c>
      <c r="P67" s="5" t="s">
        <v>19</v>
      </c>
      <c r="Q67" s="10" t="s">
        <v>19</v>
      </c>
      <c r="R67" s="5" t="s">
        <v>20</v>
      </c>
      <c r="S67" s="5" t="str">
        <f>""</f>
        <v/>
      </c>
      <c r="T67" s="11" t="s">
        <v>20</v>
      </c>
    </row>
    <row r="68" spans="1:20" thickTop="1" thickBot="1" x14ac:dyDescent="0.35">
      <c r="A68" s="3" t="s">
        <v>257</v>
      </c>
      <c r="B68" s="4" t="s">
        <v>258</v>
      </c>
      <c r="C68" s="4">
        <v>1942</v>
      </c>
      <c r="D68" s="5" t="s">
        <v>38</v>
      </c>
      <c r="E68" s="5" t="s">
        <v>39</v>
      </c>
      <c r="F68" s="6">
        <f>28-4</f>
        <v>24</v>
      </c>
      <c r="G68" s="7">
        <f>242/3</f>
        <v>80.666666666666671</v>
      </c>
      <c r="H68" s="8" t="s">
        <v>131</v>
      </c>
      <c r="I68" s="2">
        <v>16</v>
      </c>
      <c r="J68" s="9" t="s">
        <v>38</v>
      </c>
      <c r="K68" s="4" t="s">
        <v>259</v>
      </c>
      <c r="L68" s="4" t="str">
        <f>""</f>
        <v/>
      </c>
      <c r="M68" s="4" t="str">
        <f>""</f>
        <v/>
      </c>
      <c r="N68" s="10">
        <v>44833</v>
      </c>
      <c r="O68" s="41">
        <v>0</v>
      </c>
      <c r="P68" s="5" t="s">
        <v>20</v>
      </c>
      <c r="Q68" s="10" t="s">
        <v>19</v>
      </c>
      <c r="R68" s="5" t="s">
        <v>20</v>
      </c>
      <c r="S68" s="2" t="str">
        <f>""</f>
        <v/>
      </c>
      <c r="T68" s="11" t="s">
        <v>20</v>
      </c>
    </row>
    <row r="69" spans="1:20" thickTop="1" thickBot="1" x14ac:dyDescent="0.35">
      <c r="A69" s="3" t="s">
        <v>260</v>
      </c>
      <c r="B69" s="4" t="s">
        <v>242</v>
      </c>
      <c r="C69" s="4">
        <v>1762</v>
      </c>
      <c r="D69" s="5" t="s">
        <v>30</v>
      </c>
      <c r="E69" s="5" t="s">
        <v>39</v>
      </c>
      <c r="F69" s="6">
        <f>176-34</f>
        <v>142</v>
      </c>
      <c r="G69" s="7">
        <v>260</v>
      </c>
      <c r="H69" s="8" t="s">
        <v>15</v>
      </c>
      <c r="I69" s="2">
        <v>1058</v>
      </c>
      <c r="J69" s="9" t="s">
        <v>32</v>
      </c>
      <c r="K69" s="4" t="s">
        <v>261</v>
      </c>
      <c r="L69" s="4" t="s">
        <v>262</v>
      </c>
      <c r="M69" s="2" t="str">
        <f>""</f>
        <v/>
      </c>
      <c r="N69" s="5" t="str">
        <f>""</f>
        <v/>
      </c>
      <c r="O69" s="41">
        <v>3.9</v>
      </c>
      <c r="P69" s="5" t="s">
        <v>19</v>
      </c>
      <c r="Q69" s="10" t="s">
        <v>19</v>
      </c>
      <c r="R69" s="5" t="s">
        <v>20</v>
      </c>
      <c r="S69" s="2" t="str">
        <f>""</f>
        <v/>
      </c>
      <c r="T69" s="11" t="s">
        <v>20</v>
      </c>
    </row>
    <row r="70" spans="1:20" thickTop="1" thickBot="1" x14ac:dyDescent="0.35">
      <c r="A70" s="3" t="s">
        <v>263</v>
      </c>
      <c r="B70" s="4" t="s">
        <v>264</v>
      </c>
      <c r="C70" s="4">
        <v>1913</v>
      </c>
      <c r="D70" s="5" t="s">
        <v>13</v>
      </c>
      <c r="E70" s="5" t="s">
        <v>39</v>
      </c>
      <c r="F70" s="6">
        <f>574-46</f>
        <v>528</v>
      </c>
      <c r="G70" s="7">
        <v>724</v>
      </c>
      <c r="H70" s="8" t="s">
        <v>15</v>
      </c>
      <c r="I70" s="2">
        <v>1924</v>
      </c>
      <c r="J70" s="9" t="s">
        <v>25</v>
      </c>
      <c r="K70" s="4" t="s">
        <v>265</v>
      </c>
      <c r="L70" s="4" t="s">
        <v>266</v>
      </c>
      <c r="M70" s="2" t="str">
        <f>""</f>
        <v/>
      </c>
      <c r="N70" s="10">
        <v>44922</v>
      </c>
      <c r="O70" s="41"/>
      <c r="P70" s="5" t="s">
        <v>19</v>
      </c>
      <c r="Q70" s="10" t="s">
        <v>19</v>
      </c>
      <c r="R70" s="5" t="s">
        <v>20</v>
      </c>
      <c r="S70" s="2" t="str">
        <f>""</f>
        <v/>
      </c>
      <c r="T70" s="11" t="s">
        <v>19</v>
      </c>
    </row>
    <row r="71" spans="1:20" thickTop="1" thickBot="1" x14ac:dyDescent="0.35">
      <c r="A71" s="3" t="s">
        <v>267</v>
      </c>
      <c r="B71" s="4" t="s">
        <v>268</v>
      </c>
      <c r="C71" s="4">
        <v>1922</v>
      </c>
      <c r="D71" s="5" t="s">
        <v>30</v>
      </c>
      <c r="E71" s="5" t="s">
        <v>39</v>
      </c>
      <c r="F71" s="6">
        <f>302-62</f>
        <v>240</v>
      </c>
      <c r="G71" s="7">
        <v>344</v>
      </c>
      <c r="H71" s="8" t="s">
        <v>15</v>
      </c>
      <c r="I71" s="2">
        <v>1626</v>
      </c>
      <c r="J71" s="9" t="s">
        <v>32</v>
      </c>
      <c r="K71" s="4" t="s">
        <v>269</v>
      </c>
      <c r="L71" s="4" t="s">
        <v>270</v>
      </c>
      <c r="M71" s="4" t="str">
        <f>""</f>
        <v/>
      </c>
      <c r="N71" s="2" t="str">
        <f>""</f>
        <v/>
      </c>
      <c r="O71" s="42"/>
      <c r="P71" s="5" t="s">
        <v>19</v>
      </c>
      <c r="Q71" s="10" t="s">
        <v>19</v>
      </c>
      <c r="R71" s="5" t="s">
        <v>20</v>
      </c>
      <c r="S71" s="2" t="str">
        <f>""</f>
        <v/>
      </c>
      <c r="T71" s="11" t="s">
        <v>20</v>
      </c>
    </row>
    <row r="72" spans="1:20" thickTop="1" thickBot="1" x14ac:dyDescent="0.35">
      <c r="A72" s="3" t="s">
        <v>271</v>
      </c>
      <c r="B72" s="4" t="s">
        <v>272</v>
      </c>
      <c r="C72" s="4">
        <v>1868</v>
      </c>
      <c r="D72" s="5" t="s">
        <v>108</v>
      </c>
      <c r="E72" s="5" t="s">
        <v>39</v>
      </c>
      <c r="F72" s="6">
        <f>577-48</f>
        <v>529</v>
      </c>
      <c r="G72" s="7">
        <v>612</v>
      </c>
      <c r="H72" s="8" t="s">
        <v>57</v>
      </c>
      <c r="I72" s="2">
        <v>3921</v>
      </c>
      <c r="J72" s="9" t="s">
        <v>69</v>
      </c>
      <c r="K72" s="4" t="s">
        <v>273</v>
      </c>
      <c r="L72" s="4" t="s">
        <v>274</v>
      </c>
      <c r="M72" s="2" t="str">
        <f>""</f>
        <v/>
      </c>
      <c r="N72" s="10">
        <v>44927</v>
      </c>
      <c r="O72" s="41">
        <v>9.9</v>
      </c>
      <c r="P72" s="5" t="s">
        <v>19</v>
      </c>
      <c r="Q72" s="10" t="s">
        <v>19</v>
      </c>
      <c r="R72" s="5" t="s">
        <v>20</v>
      </c>
      <c r="S72" s="2" t="str">
        <f>""</f>
        <v/>
      </c>
      <c r="T72" s="11" t="s">
        <v>20</v>
      </c>
    </row>
    <row r="73" spans="1:20" thickTop="1" thickBot="1" x14ac:dyDescent="0.35">
      <c r="A73" s="3" t="s">
        <v>275</v>
      </c>
      <c r="B73" s="4" t="s">
        <v>276</v>
      </c>
      <c r="C73" s="4">
        <v>2006</v>
      </c>
      <c r="D73" s="5" t="s">
        <v>45</v>
      </c>
      <c r="E73" s="5" t="s">
        <v>39</v>
      </c>
      <c r="F73" s="6">
        <f>220-4</f>
        <v>216</v>
      </c>
      <c r="G73" s="7">
        <v>228</v>
      </c>
      <c r="H73" s="8" t="s">
        <v>277</v>
      </c>
      <c r="I73" s="2">
        <v>8864</v>
      </c>
      <c r="J73" s="9" t="str">
        <f>""</f>
        <v/>
      </c>
      <c r="K73" s="4" t="s">
        <v>278</v>
      </c>
      <c r="L73" s="2" t="str">
        <f>""</f>
        <v/>
      </c>
      <c r="M73" s="2" t="str">
        <f>""</f>
        <v/>
      </c>
      <c r="N73" s="10">
        <v>43389</v>
      </c>
      <c r="O73" s="41">
        <v>6.1</v>
      </c>
      <c r="P73" s="5" t="s">
        <v>19</v>
      </c>
      <c r="Q73" s="10" t="s">
        <v>19</v>
      </c>
      <c r="R73" s="5" t="s">
        <v>19</v>
      </c>
      <c r="S73" s="5" t="s">
        <v>19</v>
      </c>
      <c r="T73" s="11" t="s">
        <v>20</v>
      </c>
    </row>
    <row r="74" spans="1:20" thickTop="1" thickBot="1" x14ac:dyDescent="0.35">
      <c r="A74" s="3" t="s">
        <v>279</v>
      </c>
      <c r="B74" s="4" t="s">
        <v>280</v>
      </c>
      <c r="C74" s="4">
        <v>1509</v>
      </c>
      <c r="D74" s="5" t="s">
        <v>30</v>
      </c>
      <c r="E74" s="5" t="s">
        <v>24</v>
      </c>
      <c r="F74" s="6">
        <f>94-10</f>
        <v>84</v>
      </c>
      <c r="G74" s="7">
        <f>194/2</f>
        <v>97</v>
      </c>
      <c r="H74" s="8" t="s">
        <v>15</v>
      </c>
      <c r="I74" s="2">
        <v>36</v>
      </c>
      <c r="J74" s="9" t="s">
        <v>32</v>
      </c>
      <c r="K74" s="4" t="s">
        <v>281</v>
      </c>
      <c r="L74" s="4" t="s">
        <v>282</v>
      </c>
      <c r="M74" s="4" t="s">
        <v>283</v>
      </c>
      <c r="N74" s="5" t="str">
        <f>""</f>
        <v/>
      </c>
      <c r="O74" s="41">
        <v>3.9</v>
      </c>
      <c r="P74" s="5" t="s">
        <v>19</v>
      </c>
      <c r="Q74" s="10" t="s">
        <v>19</v>
      </c>
      <c r="R74" s="5" t="s">
        <v>19</v>
      </c>
      <c r="S74" s="5" t="s">
        <v>19</v>
      </c>
      <c r="T74" s="11" t="s">
        <v>20</v>
      </c>
    </row>
    <row r="75" spans="1:20" thickTop="1" thickBot="1" x14ac:dyDescent="0.35">
      <c r="A75" s="3" t="s">
        <v>284</v>
      </c>
      <c r="B75" s="4" t="s">
        <v>285</v>
      </c>
      <c r="C75" s="4">
        <v>1959</v>
      </c>
      <c r="D75" s="5" t="s">
        <v>38</v>
      </c>
      <c r="E75" s="5" t="s">
        <v>39</v>
      </c>
      <c r="F75" s="6">
        <f>125-4</f>
        <v>121</v>
      </c>
      <c r="G75" s="7">
        <v>164</v>
      </c>
      <c r="H75" s="8" t="s">
        <v>131</v>
      </c>
      <c r="I75" s="2">
        <v>444</v>
      </c>
      <c r="J75" s="9" t="s">
        <v>38</v>
      </c>
      <c r="K75" s="4" t="s">
        <v>286</v>
      </c>
      <c r="L75" s="4" t="s">
        <v>287</v>
      </c>
      <c r="M75" s="2" t="str">
        <f>""</f>
        <v/>
      </c>
      <c r="N75" s="10">
        <v>44836</v>
      </c>
      <c r="O75" s="41" t="s">
        <v>1034</v>
      </c>
      <c r="P75" s="5" t="s">
        <v>19</v>
      </c>
      <c r="Q75" s="10" t="s">
        <v>19</v>
      </c>
      <c r="R75" s="5" t="s">
        <v>19</v>
      </c>
      <c r="S75" s="5" t="s">
        <v>20</v>
      </c>
      <c r="T75" s="11" t="s">
        <v>20</v>
      </c>
    </row>
    <row r="76" spans="1:20" thickTop="1" thickBot="1" x14ac:dyDescent="0.35">
      <c r="A76" s="3" t="s">
        <v>288</v>
      </c>
      <c r="B76" s="4" t="s">
        <v>242</v>
      </c>
      <c r="C76" s="4">
        <v>1762</v>
      </c>
      <c r="D76" s="5" t="s">
        <v>30</v>
      </c>
      <c r="E76" s="5" t="s">
        <v>39</v>
      </c>
      <c r="F76" s="6">
        <f>693-36</f>
        <v>657</v>
      </c>
      <c r="G76" s="7">
        <v>852</v>
      </c>
      <c r="H76" s="8" t="s">
        <v>15</v>
      </c>
      <c r="I76" s="2">
        <v>1428</v>
      </c>
      <c r="J76" s="2" t="s">
        <v>32</v>
      </c>
      <c r="K76" s="4" t="s">
        <v>289</v>
      </c>
      <c r="L76" s="2" t="s">
        <v>290</v>
      </c>
      <c r="M76" s="2" t="str">
        <f>""</f>
        <v/>
      </c>
      <c r="N76" s="2" t="str">
        <f>""</f>
        <v/>
      </c>
      <c r="O76" s="42">
        <v>10.199999999999999</v>
      </c>
      <c r="P76" s="5" t="s">
        <v>19</v>
      </c>
      <c r="Q76" s="10" t="s">
        <v>19</v>
      </c>
      <c r="R76" s="5" t="s">
        <v>19</v>
      </c>
      <c r="S76" s="5" t="s">
        <v>19</v>
      </c>
      <c r="T76" s="11" t="s">
        <v>20</v>
      </c>
    </row>
    <row r="77" spans="1:20" thickTop="1" thickBot="1" x14ac:dyDescent="0.35">
      <c r="A77" s="3" t="s">
        <v>291</v>
      </c>
      <c r="B77" s="4" t="s">
        <v>292</v>
      </c>
      <c r="C77" s="4">
        <v>1952</v>
      </c>
      <c r="D77" s="5" t="s">
        <v>23</v>
      </c>
      <c r="E77" s="5" t="s">
        <v>39</v>
      </c>
      <c r="F77" s="6">
        <f>124-4</f>
        <v>120</v>
      </c>
      <c r="G77" s="7">
        <v>132</v>
      </c>
      <c r="H77" s="8" t="s">
        <v>293</v>
      </c>
      <c r="I77" s="2" t="str">
        <f>""</f>
        <v/>
      </c>
      <c r="J77" s="9" t="str">
        <f>""</f>
        <v/>
      </c>
      <c r="K77" s="4" t="s">
        <v>294</v>
      </c>
      <c r="L77" s="2" t="str">
        <f>""</f>
        <v/>
      </c>
      <c r="M77" s="4" t="str">
        <f>""</f>
        <v/>
      </c>
      <c r="N77" s="10">
        <v>42763</v>
      </c>
      <c r="O77" s="41">
        <v>6.9</v>
      </c>
      <c r="P77" s="5" t="s">
        <v>19</v>
      </c>
      <c r="Q77" s="10" t="s">
        <v>19</v>
      </c>
      <c r="R77" s="5" t="s">
        <v>19</v>
      </c>
      <c r="S77" s="2" t="s">
        <v>20</v>
      </c>
      <c r="T77" s="11" t="s">
        <v>20</v>
      </c>
    </row>
    <row r="78" spans="1:20" thickTop="1" thickBot="1" x14ac:dyDescent="0.35">
      <c r="A78" s="3" t="s">
        <v>295</v>
      </c>
      <c r="B78" s="4" t="s">
        <v>296</v>
      </c>
      <c r="C78" s="4">
        <v>-19</v>
      </c>
      <c r="D78" s="5" t="s">
        <v>38</v>
      </c>
      <c r="E78" s="5" t="s">
        <v>24</v>
      </c>
      <c r="F78" s="6">
        <f>507-38</f>
        <v>469</v>
      </c>
      <c r="G78" s="7">
        <v>580</v>
      </c>
      <c r="H78" s="8" t="s">
        <v>57</v>
      </c>
      <c r="I78" s="2">
        <v>21006</v>
      </c>
      <c r="J78" s="9" t="s">
        <v>69</v>
      </c>
      <c r="K78" s="4" t="s">
        <v>297</v>
      </c>
      <c r="L78" s="4" t="s">
        <v>298</v>
      </c>
      <c r="M78" s="4" t="s">
        <v>299</v>
      </c>
      <c r="N78" s="10">
        <v>43586</v>
      </c>
      <c r="O78" s="41"/>
      <c r="P78" s="5" t="s">
        <v>19</v>
      </c>
      <c r="Q78" s="10" t="s">
        <v>19</v>
      </c>
      <c r="R78" s="5" t="s">
        <v>20</v>
      </c>
      <c r="S78" s="5" t="str">
        <f>""</f>
        <v/>
      </c>
      <c r="T78" s="11" t="s">
        <v>20</v>
      </c>
    </row>
    <row r="79" spans="1:20" thickTop="1" thickBot="1" x14ac:dyDescent="0.35">
      <c r="A79" s="3" t="s">
        <v>300</v>
      </c>
      <c r="B79" s="4" t="s">
        <v>301</v>
      </c>
      <c r="C79" s="4">
        <v>1776</v>
      </c>
      <c r="D79" s="5" t="s">
        <v>30</v>
      </c>
      <c r="E79" s="5" t="s">
        <v>39</v>
      </c>
      <c r="F79" s="6">
        <f>64-34</f>
        <v>30</v>
      </c>
      <c r="G79" s="7">
        <v>124</v>
      </c>
      <c r="H79" s="8" t="s">
        <v>15</v>
      </c>
      <c r="I79" s="2">
        <v>1429</v>
      </c>
      <c r="J79" s="9" t="s">
        <v>32</v>
      </c>
      <c r="K79" s="4" t="s">
        <v>302</v>
      </c>
      <c r="L79" s="4" t="s">
        <v>303</v>
      </c>
      <c r="M79" s="2" t="str">
        <f>""</f>
        <v/>
      </c>
      <c r="N79" s="10">
        <v>43678</v>
      </c>
      <c r="O79" s="41">
        <v>3.5</v>
      </c>
      <c r="P79" s="5" t="s">
        <v>19</v>
      </c>
      <c r="Q79" s="10" t="s">
        <v>19</v>
      </c>
      <c r="R79" s="5" t="s">
        <v>20</v>
      </c>
      <c r="S79" s="5" t="str">
        <f>""</f>
        <v/>
      </c>
      <c r="T79" s="11" t="s">
        <v>19</v>
      </c>
    </row>
    <row r="80" spans="1:20" thickTop="1" thickBot="1" x14ac:dyDescent="0.35">
      <c r="A80" s="3" t="s">
        <v>304</v>
      </c>
      <c r="B80" s="4" t="s">
        <v>305</v>
      </c>
      <c r="C80" s="4">
        <v>1698</v>
      </c>
      <c r="D80" s="5" t="s">
        <v>38</v>
      </c>
      <c r="E80" s="5" t="s">
        <v>39</v>
      </c>
      <c r="F80" s="6">
        <f>224-164</f>
        <v>60</v>
      </c>
      <c r="G80" s="7">
        <v>119</v>
      </c>
      <c r="H80" s="8" t="s">
        <v>131</v>
      </c>
      <c r="I80" s="2">
        <v>195</v>
      </c>
      <c r="J80" s="9" t="s">
        <v>38</v>
      </c>
      <c r="K80" s="4" t="s">
        <v>306</v>
      </c>
      <c r="L80" s="2" t="s">
        <v>307</v>
      </c>
      <c r="M80" s="2" t="str">
        <f>""</f>
        <v/>
      </c>
      <c r="N80" s="15">
        <v>44237</v>
      </c>
      <c r="O80" s="42">
        <v>0</v>
      </c>
      <c r="P80" s="5" t="s">
        <v>20</v>
      </c>
      <c r="Q80" s="10" t="s">
        <v>19</v>
      </c>
      <c r="R80" s="5" t="s">
        <v>20</v>
      </c>
      <c r="S80" s="2" t="str">
        <f>""</f>
        <v/>
      </c>
      <c r="T80" s="11" t="s">
        <v>20</v>
      </c>
    </row>
    <row r="81" spans="1:20" thickTop="1" thickBot="1" x14ac:dyDescent="0.35">
      <c r="A81" s="3" t="s">
        <v>308</v>
      </c>
      <c r="B81" s="4" t="s">
        <v>200</v>
      </c>
      <c r="C81" s="4">
        <v>-350</v>
      </c>
      <c r="D81" s="5" t="s">
        <v>30</v>
      </c>
      <c r="E81" s="5" t="s">
        <v>75</v>
      </c>
      <c r="F81" s="6">
        <f>550-44</f>
        <v>506</v>
      </c>
      <c r="G81" s="7">
        <v>578</v>
      </c>
      <c r="H81" s="8" t="s">
        <v>15</v>
      </c>
      <c r="I81" s="2">
        <v>947</v>
      </c>
      <c r="J81" s="9" t="s">
        <v>32</v>
      </c>
      <c r="K81" s="4" t="s">
        <v>309</v>
      </c>
      <c r="L81" s="4" t="s">
        <v>202</v>
      </c>
      <c r="M81" s="4" t="s">
        <v>202</v>
      </c>
      <c r="N81" s="2" t="str">
        <f>""</f>
        <v/>
      </c>
      <c r="O81" s="42">
        <v>9</v>
      </c>
      <c r="P81" s="5" t="s">
        <v>19</v>
      </c>
      <c r="Q81" s="10" t="s">
        <v>19</v>
      </c>
      <c r="R81" s="5" t="s">
        <v>20</v>
      </c>
      <c r="S81" s="2" t="str">
        <f>""</f>
        <v/>
      </c>
      <c r="T81" s="11" t="s">
        <v>20</v>
      </c>
    </row>
    <row r="82" spans="1:20" thickTop="1" thickBot="1" x14ac:dyDescent="0.35">
      <c r="A82" s="3" t="s">
        <v>310</v>
      </c>
      <c r="B82" s="4" t="s">
        <v>311</v>
      </c>
      <c r="C82" s="4">
        <v>1834</v>
      </c>
      <c r="D82" s="5" t="s">
        <v>13</v>
      </c>
      <c r="E82" s="5" t="s">
        <v>39</v>
      </c>
      <c r="F82" s="6">
        <f>275-52</f>
        <v>223</v>
      </c>
      <c r="G82" s="7">
        <v>324</v>
      </c>
      <c r="H82" s="8" t="s">
        <v>57</v>
      </c>
      <c r="I82" s="2">
        <v>1414</v>
      </c>
      <c r="J82" s="9" t="s">
        <v>69</v>
      </c>
      <c r="K82" s="4" t="s">
        <v>312</v>
      </c>
      <c r="L82" s="4" t="s">
        <v>313</v>
      </c>
      <c r="M82" s="2" t="str">
        <f>""</f>
        <v/>
      </c>
      <c r="N82" s="10">
        <v>44013</v>
      </c>
      <c r="O82" s="41">
        <v>3</v>
      </c>
      <c r="P82" s="5" t="s">
        <v>19</v>
      </c>
      <c r="Q82" s="10" t="s">
        <v>19</v>
      </c>
      <c r="R82" s="5" t="s">
        <v>20</v>
      </c>
      <c r="S82" s="2" t="str">
        <f>""</f>
        <v/>
      </c>
      <c r="T82" s="11" t="s">
        <v>20</v>
      </c>
    </row>
    <row r="83" spans="1:20" thickTop="1" thickBot="1" x14ac:dyDescent="0.35">
      <c r="A83" s="3" t="s">
        <v>314</v>
      </c>
      <c r="B83" s="4" t="s">
        <v>315</v>
      </c>
      <c r="C83" s="4">
        <v>1947</v>
      </c>
      <c r="D83" s="5" t="s">
        <v>161</v>
      </c>
      <c r="E83" s="5" t="s">
        <v>39</v>
      </c>
      <c r="F83" s="6">
        <f>154-4</f>
        <v>150</v>
      </c>
      <c r="G83" s="7">
        <v>166</v>
      </c>
      <c r="H83" s="8" t="s">
        <v>15</v>
      </c>
      <c r="I83" s="2">
        <v>1363</v>
      </c>
      <c r="J83" s="9" t="s">
        <v>16</v>
      </c>
      <c r="K83" s="4" t="s">
        <v>316</v>
      </c>
      <c r="L83" s="4" t="str">
        <f>""</f>
        <v/>
      </c>
      <c r="M83" s="4" t="str">
        <f>""</f>
        <v/>
      </c>
      <c r="N83" s="10">
        <v>42858</v>
      </c>
      <c r="O83" s="41" t="s">
        <v>1006</v>
      </c>
      <c r="P83" s="5" t="s">
        <v>19</v>
      </c>
      <c r="Q83" s="10" t="s">
        <v>19</v>
      </c>
      <c r="R83" s="5" t="s">
        <v>19</v>
      </c>
      <c r="S83" s="2" t="s">
        <v>20</v>
      </c>
      <c r="T83" s="11" t="s">
        <v>19</v>
      </c>
    </row>
    <row r="84" spans="1:20" thickTop="1" thickBot="1" x14ac:dyDescent="0.35">
      <c r="A84" s="3" t="s">
        <v>317</v>
      </c>
      <c r="B84" s="4" t="s">
        <v>318</v>
      </c>
      <c r="C84" s="4">
        <v>-590</v>
      </c>
      <c r="D84" s="5" t="s">
        <v>38</v>
      </c>
      <c r="E84" s="5" t="s">
        <v>75</v>
      </c>
      <c r="F84" s="6">
        <f>294-134</f>
        <v>160</v>
      </c>
      <c r="G84" s="7">
        <f>454/2</f>
        <v>227</v>
      </c>
      <c r="H84" s="8" t="s">
        <v>15</v>
      </c>
      <c r="I84" s="2">
        <v>6696</v>
      </c>
      <c r="J84" s="9" t="s">
        <v>25</v>
      </c>
      <c r="K84" s="4" t="s">
        <v>319</v>
      </c>
      <c r="L84" s="2" t="s">
        <v>320</v>
      </c>
      <c r="M84" s="2" t="s">
        <v>321</v>
      </c>
      <c r="N84" s="10">
        <v>43688</v>
      </c>
      <c r="O84" s="41" t="s">
        <v>986</v>
      </c>
      <c r="P84" s="5" t="s">
        <v>19</v>
      </c>
      <c r="Q84" s="10" t="s">
        <v>19</v>
      </c>
      <c r="R84" s="5" t="s">
        <v>19</v>
      </c>
      <c r="S84" s="5" t="s">
        <v>19</v>
      </c>
      <c r="T84" s="11" t="s">
        <v>20</v>
      </c>
    </row>
    <row r="85" spans="1:20" thickTop="1" thickBot="1" x14ac:dyDescent="0.35">
      <c r="A85" s="3" t="s">
        <v>317</v>
      </c>
      <c r="B85" s="4" t="s">
        <v>322</v>
      </c>
      <c r="C85" s="4">
        <v>1694</v>
      </c>
      <c r="D85" s="5" t="s">
        <v>38</v>
      </c>
      <c r="E85" s="5" t="s">
        <v>39</v>
      </c>
      <c r="F85" s="6">
        <f>422-62</f>
        <v>360</v>
      </c>
      <c r="G85" s="7">
        <f>548/2</f>
        <v>274</v>
      </c>
      <c r="H85" s="8" t="s">
        <v>57</v>
      </c>
      <c r="I85" s="2">
        <v>1198</v>
      </c>
      <c r="J85" s="9" t="s">
        <v>69</v>
      </c>
      <c r="K85" s="4" t="s">
        <v>323</v>
      </c>
      <c r="L85" s="2" t="s">
        <v>324</v>
      </c>
      <c r="M85" s="2" t="str">
        <f>""</f>
        <v/>
      </c>
      <c r="N85" s="15">
        <v>43983</v>
      </c>
      <c r="O85" s="42">
        <v>3.1</v>
      </c>
      <c r="P85" s="5" t="s">
        <v>19</v>
      </c>
      <c r="Q85" s="10" t="s">
        <v>19</v>
      </c>
      <c r="R85" s="5" t="s">
        <v>19</v>
      </c>
      <c r="S85" s="2" t="s">
        <v>20</v>
      </c>
      <c r="T85" s="11" t="s">
        <v>20</v>
      </c>
    </row>
    <row r="86" spans="1:20" ht="15.6" customHeight="1" thickTop="1" thickBot="1" x14ac:dyDescent="0.35">
      <c r="A86" s="3" t="s">
        <v>325</v>
      </c>
      <c r="B86" s="4" t="s">
        <v>326</v>
      </c>
      <c r="C86" s="4">
        <v>2019</v>
      </c>
      <c r="D86" s="5" t="s">
        <v>327</v>
      </c>
      <c r="E86" s="5" t="s">
        <v>39</v>
      </c>
      <c r="F86" s="6">
        <f>235-3</f>
        <v>232</v>
      </c>
      <c r="G86" s="7">
        <v>242</v>
      </c>
      <c r="H86" s="8" t="s">
        <v>328</v>
      </c>
      <c r="I86" s="2" t="str">
        <f>""</f>
        <v/>
      </c>
      <c r="J86" s="9" t="str">
        <f>""</f>
        <v/>
      </c>
      <c r="K86" s="4" t="s">
        <v>329</v>
      </c>
      <c r="L86" s="4" t="str">
        <f>""</f>
        <v/>
      </c>
      <c r="M86" s="4" t="str">
        <f>""</f>
        <v/>
      </c>
      <c r="N86" s="5" t="str">
        <f>""</f>
        <v/>
      </c>
      <c r="O86" s="41">
        <v>19.899999999999999</v>
      </c>
      <c r="P86" s="5" t="s">
        <v>19</v>
      </c>
      <c r="Q86" s="10" t="s">
        <v>19</v>
      </c>
      <c r="R86" s="5" t="s">
        <v>19</v>
      </c>
      <c r="S86" s="2" t="s">
        <v>20</v>
      </c>
      <c r="T86" s="11" t="s">
        <v>20</v>
      </c>
    </row>
    <row r="87" spans="1:20" thickTop="1" thickBot="1" x14ac:dyDescent="0.35">
      <c r="A87" s="3" t="s">
        <v>330</v>
      </c>
      <c r="B87" s="4" t="s">
        <v>55</v>
      </c>
      <c r="C87" s="4">
        <v>1998</v>
      </c>
      <c r="D87" s="5" t="s">
        <v>45</v>
      </c>
      <c r="E87" s="5" t="s">
        <v>46</v>
      </c>
      <c r="F87" s="6">
        <f>506-5+1</f>
        <v>502</v>
      </c>
      <c r="G87" s="7">
        <v>516</v>
      </c>
      <c r="H87" s="8" t="s">
        <v>56</v>
      </c>
      <c r="I87" s="2">
        <v>31275</v>
      </c>
      <c r="J87" s="9" t="s">
        <v>57</v>
      </c>
      <c r="K87" s="4" t="s">
        <v>331</v>
      </c>
      <c r="L87" s="4" t="str">
        <f>""</f>
        <v/>
      </c>
      <c r="M87" s="2" t="s">
        <v>332</v>
      </c>
      <c r="N87" s="10">
        <v>42383</v>
      </c>
      <c r="O87" s="41"/>
      <c r="P87" s="5" t="s">
        <v>19</v>
      </c>
      <c r="Q87" s="10" t="s">
        <v>19</v>
      </c>
      <c r="R87" s="5" t="s">
        <v>20</v>
      </c>
      <c r="S87" s="5" t="str">
        <f>""</f>
        <v/>
      </c>
      <c r="T87" s="11" t="s">
        <v>20</v>
      </c>
    </row>
    <row r="88" spans="1:20" thickTop="1" thickBot="1" x14ac:dyDescent="0.35">
      <c r="A88" s="3" t="s">
        <v>1225</v>
      </c>
      <c r="B88" s="4" t="s">
        <v>1226</v>
      </c>
      <c r="C88" s="4">
        <v>2003</v>
      </c>
      <c r="D88" s="5" t="s">
        <v>1097</v>
      </c>
      <c r="E88" s="5" t="s">
        <v>39</v>
      </c>
      <c r="F88" s="6">
        <v>25</v>
      </c>
      <c r="G88" s="7">
        <v>36</v>
      </c>
      <c r="H88" s="8" t="s">
        <v>1192</v>
      </c>
      <c r="K88" s="4" t="s">
        <v>1227</v>
      </c>
      <c r="O88" s="41">
        <v>1.79</v>
      </c>
      <c r="P88" s="5" t="s">
        <v>19</v>
      </c>
      <c r="Q88" s="5" t="s">
        <v>19</v>
      </c>
      <c r="R88" s="5" t="s">
        <v>19</v>
      </c>
      <c r="S88" s="16" t="s">
        <v>20</v>
      </c>
      <c r="T88" s="11" t="s">
        <v>20</v>
      </c>
    </row>
    <row r="89" spans="1:20" thickTop="1" thickBot="1" x14ac:dyDescent="0.35">
      <c r="A89" s="3" t="s">
        <v>333</v>
      </c>
      <c r="B89" s="4" t="s">
        <v>334</v>
      </c>
      <c r="C89" s="4">
        <v>1818</v>
      </c>
      <c r="D89" s="5" t="s">
        <v>13</v>
      </c>
      <c r="E89" s="5" t="s">
        <v>14</v>
      </c>
      <c r="F89" s="6">
        <f>327-44</f>
        <v>283</v>
      </c>
      <c r="G89" s="7">
        <v>356</v>
      </c>
      <c r="H89" s="8" t="s">
        <v>57</v>
      </c>
      <c r="I89" s="2">
        <v>31266</v>
      </c>
      <c r="J89" s="9" t="s">
        <v>69</v>
      </c>
      <c r="K89" s="4" t="s">
        <v>335</v>
      </c>
      <c r="L89" s="4" t="s">
        <v>336</v>
      </c>
      <c r="M89" s="4" t="s">
        <v>337</v>
      </c>
      <c r="N89" s="10">
        <v>43678</v>
      </c>
      <c r="O89" s="41">
        <v>4.0999999999999996</v>
      </c>
      <c r="P89" s="5" t="s">
        <v>19</v>
      </c>
      <c r="Q89" s="10" t="s">
        <v>19</v>
      </c>
      <c r="R89" s="5" t="s">
        <v>19</v>
      </c>
      <c r="S89" s="5" t="s">
        <v>19</v>
      </c>
      <c r="T89" s="11" t="s">
        <v>20</v>
      </c>
    </row>
    <row r="90" spans="1:20" thickTop="1" thickBot="1" x14ac:dyDescent="0.35">
      <c r="A90" s="3" t="s">
        <v>1170</v>
      </c>
      <c r="B90" s="4" t="s">
        <v>1171</v>
      </c>
      <c r="C90" s="4">
        <v>2023</v>
      </c>
      <c r="D90" s="5" t="s">
        <v>108</v>
      </c>
      <c r="E90" s="5" t="s">
        <v>252</v>
      </c>
      <c r="F90" s="6">
        <f>467-5</f>
        <v>462</v>
      </c>
      <c r="G90" s="7">
        <v>484</v>
      </c>
      <c r="H90" s="8" t="s">
        <v>91</v>
      </c>
      <c r="J90" s="9" t="s">
        <v>109</v>
      </c>
      <c r="K90" s="4" t="s">
        <v>1172</v>
      </c>
      <c r="M90" s="2" t="s">
        <v>1173</v>
      </c>
      <c r="N90" s="2"/>
      <c r="O90" s="42">
        <v>25</v>
      </c>
      <c r="P90" s="5" t="s">
        <v>19</v>
      </c>
      <c r="Q90" s="5" t="s">
        <v>19</v>
      </c>
      <c r="R90" s="5" t="s">
        <v>20</v>
      </c>
      <c r="S90" s="16"/>
      <c r="T90" s="11" t="s">
        <v>20</v>
      </c>
    </row>
    <row r="91" spans="1:20" thickTop="1" thickBot="1" x14ac:dyDescent="0.35">
      <c r="A91" s="3" t="s">
        <v>338</v>
      </c>
      <c r="B91" s="4" t="s">
        <v>339</v>
      </c>
      <c r="C91" s="4">
        <v>1534</v>
      </c>
      <c r="D91" s="5" t="s">
        <v>13</v>
      </c>
      <c r="E91" s="5" t="s">
        <v>39</v>
      </c>
      <c r="F91" s="6">
        <f>505-28</f>
        <v>477</v>
      </c>
      <c r="G91" s="7">
        <v>692</v>
      </c>
      <c r="H91" s="8" t="s">
        <v>15</v>
      </c>
      <c r="I91" s="2">
        <v>4535</v>
      </c>
      <c r="J91" s="9" t="s">
        <v>25</v>
      </c>
      <c r="K91" s="4" t="s">
        <v>340</v>
      </c>
      <c r="L91" s="4" t="s">
        <v>341</v>
      </c>
      <c r="M91" s="2" t="str">
        <f>""</f>
        <v/>
      </c>
      <c r="N91" s="10">
        <v>43180</v>
      </c>
      <c r="O91" s="41" t="s">
        <v>996</v>
      </c>
      <c r="P91" s="5" t="s">
        <v>19</v>
      </c>
      <c r="Q91" s="10" t="s">
        <v>19</v>
      </c>
      <c r="R91" s="5" t="s">
        <v>19</v>
      </c>
      <c r="S91" s="2" t="s">
        <v>20</v>
      </c>
      <c r="T91" s="11" t="s">
        <v>19</v>
      </c>
    </row>
    <row r="92" spans="1:20" thickTop="1" thickBot="1" x14ac:dyDescent="0.35">
      <c r="A92" s="3" t="s">
        <v>342</v>
      </c>
      <c r="B92" s="4" t="s">
        <v>343</v>
      </c>
      <c r="C92" s="4">
        <v>2020</v>
      </c>
      <c r="D92" s="5" t="s">
        <v>108</v>
      </c>
      <c r="E92" s="5" t="s">
        <v>31</v>
      </c>
      <c r="F92" s="6">
        <f>505-2</f>
        <v>503</v>
      </c>
      <c r="G92" s="7">
        <v>518</v>
      </c>
      <c r="H92" s="8" t="s">
        <v>91</v>
      </c>
      <c r="I92" s="2" t="str">
        <f>""</f>
        <v/>
      </c>
      <c r="J92" s="2" t="s">
        <v>109</v>
      </c>
      <c r="K92" s="4" t="s">
        <v>344</v>
      </c>
      <c r="L92" s="2" t="str">
        <f>""</f>
        <v/>
      </c>
      <c r="M92" s="4" t="str">
        <f>""</f>
        <v/>
      </c>
      <c r="N92" s="2" t="str">
        <f>""</f>
        <v/>
      </c>
      <c r="O92" s="42"/>
      <c r="P92" s="5" t="s">
        <v>19</v>
      </c>
      <c r="Q92" s="10" t="s">
        <v>19</v>
      </c>
      <c r="R92" s="5" t="s">
        <v>20</v>
      </c>
      <c r="S92" s="5" t="str">
        <f>""</f>
        <v/>
      </c>
      <c r="T92" s="11" t="s">
        <v>20</v>
      </c>
    </row>
    <row r="93" spans="1:20" thickTop="1" thickBot="1" x14ac:dyDescent="0.35">
      <c r="A93" s="3" t="s">
        <v>345</v>
      </c>
      <c r="B93" s="4" t="s">
        <v>29</v>
      </c>
      <c r="C93" s="4">
        <v>1887</v>
      </c>
      <c r="D93" s="5" t="s">
        <v>30</v>
      </c>
      <c r="E93" s="5" t="s">
        <v>31</v>
      </c>
      <c r="F93" s="6">
        <f>181-22</f>
        <v>159</v>
      </c>
      <c r="G93" s="7">
        <v>292</v>
      </c>
      <c r="H93" s="8" t="s">
        <v>15</v>
      </c>
      <c r="I93" s="2">
        <v>754</v>
      </c>
      <c r="J93" s="9" t="s">
        <v>32</v>
      </c>
      <c r="K93" s="4" t="s">
        <v>346</v>
      </c>
      <c r="L93" s="4" t="s">
        <v>347</v>
      </c>
      <c r="M93" s="4" t="s">
        <v>348</v>
      </c>
      <c r="N93" s="2" t="str">
        <f>""</f>
        <v/>
      </c>
      <c r="O93" s="42">
        <v>5.9</v>
      </c>
      <c r="P93" s="5" t="s">
        <v>19</v>
      </c>
      <c r="Q93" s="10" t="s">
        <v>19</v>
      </c>
      <c r="R93" s="5" t="s">
        <v>20</v>
      </c>
      <c r="S93" s="5" t="str">
        <f>""</f>
        <v/>
      </c>
      <c r="T93" s="11" t="s">
        <v>20</v>
      </c>
    </row>
    <row r="94" spans="1:20" thickTop="1" thickBot="1" x14ac:dyDescent="0.35">
      <c r="A94" s="3" t="s">
        <v>349</v>
      </c>
      <c r="B94" s="4" t="s">
        <v>95</v>
      </c>
      <c r="C94" s="4">
        <v>1885</v>
      </c>
      <c r="D94" s="5" t="s">
        <v>13</v>
      </c>
      <c r="E94" s="5" t="s">
        <v>39</v>
      </c>
      <c r="F94" s="6">
        <f>568-26</f>
        <v>542</v>
      </c>
      <c r="G94" s="7">
        <v>612</v>
      </c>
      <c r="H94" s="8" t="s">
        <v>57</v>
      </c>
      <c r="I94" s="2">
        <v>145</v>
      </c>
      <c r="J94" s="9" t="s">
        <v>69</v>
      </c>
      <c r="K94" s="4" t="s">
        <v>350</v>
      </c>
      <c r="L94" s="4" t="s">
        <v>351</v>
      </c>
      <c r="M94" s="4" t="str">
        <f>""</f>
        <v/>
      </c>
      <c r="N94" s="10">
        <v>44470</v>
      </c>
      <c r="O94" s="41">
        <v>4</v>
      </c>
      <c r="P94" s="5" t="s">
        <v>19</v>
      </c>
      <c r="Q94" s="10" t="s">
        <v>19</v>
      </c>
      <c r="R94" s="5" t="s">
        <v>20</v>
      </c>
      <c r="S94" s="2" t="str">
        <f>""</f>
        <v/>
      </c>
      <c r="T94" s="11" t="s">
        <v>20</v>
      </c>
    </row>
    <row r="95" spans="1:20" thickTop="1" thickBot="1" x14ac:dyDescent="0.35">
      <c r="A95" s="3" t="s">
        <v>352</v>
      </c>
      <c r="B95" s="4" t="s">
        <v>80</v>
      </c>
      <c r="C95" s="4">
        <v>-387</v>
      </c>
      <c r="D95" s="5" t="s">
        <v>30</v>
      </c>
      <c r="E95" s="5" t="s">
        <v>75</v>
      </c>
      <c r="F95" s="6">
        <f>313-120</f>
        <v>193</v>
      </c>
      <c r="G95" s="7">
        <v>388</v>
      </c>
      <c r="H95" s="8" t="s">
        <v>15</v>
      </c>
      <c r="I95" s="2">
        <v>1326</v>
      </c>
      <c r="J95" s="9" t="s">
        <v>32</v>
      </c>
      <c r="K95" s="4" t="s">
        <v>353</v>
      </c>
      <c r="L95" s="4" t="s">
        <v>354</v>
      </c>
      <c r="M95" s="2" t="s">
        <v>354</v>
      </c>
      <c r="N95" s="10">
        <v>44044</v>
      </c>
      <c r="O95" s="41"/>
      <c r="P95" s="5" t="s">
        <v>19</v>
      </c>
      <c r="Q95" s="10" t="s">
        <v>19</v>
      </c>
      <c r="R95" s="5" t="s">
        <v>20</v>
      </c>
      <c r="S95" s="2" t="str">
        <f>""</f>
        <v/>
      </c>
      <c r="T95" s="11" t="s">
        <v>20</v>
      </c>
    </row>
    <row r="96" spans="1:20" thickTop="1" thickBot="1" x14ac:dyDescent="0.35">
      <c r="A96" s="3" t="s">
        <v>355</v>
      </c>
      <c r="B96" s="4" t="s">
        <v>356</v>
      </c>
      <c r="C96" s="4">
        <v>2018</v>
      </c>
      <c r="D96" s="5" t="s">
        <v>62</v>
      </c>
      <c r="E96" s="5" t="s">
        <v>39</v>
      </c>
      <c r="F96" s="6">
        <f>362</f>
        <v>362</v>
      </c>
      <c r="G96" s="7">
        <v>388</v>
      </c>
      <c r="H96" s="8" t="s">
        <v>357</v>
      </c>
      <c r="I96" s="2" t="str">
        <f>""</f>
        <v/>
      </c>
      <c r="J96" s="9" t="s">
        <v>358</v>
      </c>
      <c r="K96" s="4" t="s">
        <v>359</v>
      </c>
      <c r="L96" s="4" t="str">
        <f>""</f>
        <v/>
      </c>
      <c r="M96" s="4" t="str">
        <f>""</f>
        <v/>
      </c>
      <c r="N96" s="10">
        <v>43983</v>
      </c>
      <c r="O96" s="41"/>
      <c r="P96" s="5" t="s">
        <v>19</v>
      </c>
      <c r="Q96" s="10" t="s">
        <v>19</v>
      </c>
      <c r="R96" s="5" t="s">
        <v>19</v>
      </c>
      <c r="S96" s="2" t="s">
        <v>20</v>
      </c>
      <c r="T96" s="11" t="s">
        <v>20</v>
      </c>
    </row>
    <row r="97" spans="1:20" thickTop="1" thickBot="1" x14ac:dyDescent="0.35">
      <c r="A97" s="3" t="s">
        <v>1208</v>
      </c>
      <c r="B97" s="4" t="s">
        <v>1209</v>
      </c>
      <c r="C97" s="4">
        <v>2006</v>
      </c>
      <c r="D97" s="5" t="s">
        <v>1097</v>
      </c>
      <c r="E97" s="5" t="s">
        <v>14</v>
      </c>
      <c r="F97" s="6">
        <v>33</v>
      </c>
      <c r="G97" s="7">
        <v>44</v>
      </c>
      <c r="H97" s="8" t="s">
        <v>1192</v>
      </c>
      <c r="K97" s="4" t="s">
        <v>1210</v>
      </c>
      <c r="N97" s="2"/>
      <c r="O97" s="42">
        <v>1.86</v>
      </c>
      <c r="P97" s="5" t="s">
        <v>19</v>
      </c>
      <c r="Q97" s="5" t="s">
        <v>19</v>
      </c>
      <c r="R97" s="5" t="s">
        <v>19</v>
      </c>
      <c r="S97" s="16" t="s">
        <v>20</v>
      </c>
      <c r="T97" s="11" t="s">
        <v>20</v>
      </c>
    </row>
    <row r="98" spans="1:20" thickTop="1" thickBot="1" x14ac:dyDescent="0.35">
      <c r="A98" s="3" t="s">
        <v>360</v>
      </c>
      <c r="B98" s="4" t="s">
        <v>361</v>
      </c>
      <c r="C98" s="4">
        <v>2017</v>
      </c>
      <c r="D98" s="5" t="s">
        <v>108</v>
      </c>
      <c r="E98" s="5" t="s">
        <v>31</v>
      </c>
      <c r="F98" s="6">
        <f>499-2</f>
        <v>497</v>
      </c>
      <c r="G98" s="7">
        <v>518</v>
      </c>
      <c r="H98" s="8" t="s">
        <v>91</v>
      </c>
      <c r="I98" s="2" t="str">
        <f>""</f>
        <v/>
      </c>
      <c r="J98" s="9" t="s">
        <v>92</v>
      </c>
      <c r="K98" s="4" t="s">
        <v>362</v>
      </c>
      <c r="L98" s="4" t="str">
        <f>""</f>
        <v/>
      </c>
      <c r="M98" s="2" t="str">
        <f>""</f>
        <v/>
      </c>
      <c r="N98" s="2" t="str">
        <f>""</f>
        <v/>
      </c>
      <c r="O98" s="42"/>
      <c r="P98" s="5" t="s">
        <v>19</v>
      </c>
      <c r="Q98" s="10" t="s">
        <v>19</v>
      </c>
      <c r="R98" s="5" t="s">
        <v>20</v>
      </c>
      <c r="S98" s="5" t="str">
        <f>""</f>
        <v/>
      </c>
      <c r="T98" s="11" t="s">
        <v>20</v>
      </c>
    </row>
    <row r="99" spans="1:20" thickTop="1" thickBot="1" x14ac:dyDescent="0.35">
      <c r="A99" s="3" t="s">
        <v>363</v>
      </c>
      <c r="B99" s="4" t="s">
        <v>364</v>
      </c>
      <c r="C99" s="4">
        <v>1603</v>
      </c>
      <c r="D99" s="5" t="s">
        <v>23</v>
      </c>
      <c r="E99" s="5" t="s">
        <v>14</v>
      </c>
      <c r="F99" s="6">
        <f>256-22</f>
        <v>234</v>
      </c>
      <c r="G99" s="7">
        <v>292</v>
      </c>
      <c r="H99" s="8" t="s">
        <v>15</v>
      </c>
      <c r="I99" s="2">
        <v>6068</v>
      </c>
      <c r="J99" s="9" t="s">
        <v>25</v>
      </c>
      <c r="K99" s="4" t="s">
        <v>365</v>
      </c>
      <c r="L99" s="4" t="s">
        <v>101</v>
      </c>
      <c r="M99" s="2" t="s">
        <v>101</v>
      </c>
      <c r="N99" s="10">
        <v>44641</v>
      </c>
      <c r="O99" s="41">
        <v>3</v>
      </c>
      <c r="P99" s="5" t="s">
        <v>19</v>
      </c>
      <c r="Q99" s="10" t="s">
        <v>19</v>
      </c>
      <c r="R99" s="5" t="s">
        <v>20</v>
      </c>
      <c r="S99" s="2" t="str">
        <f>""</f>
        <v/>
      </c>
      <c r="T99" s="11" t="s">
        <v>20</v>
      </c>
    </row>
    <row r="100" spans="1:20" thickTop="1" thickBot="1" x14ac:dyDescent="0.35">
      <c r="A100" s="3" t="s">
        <v>366</v>
      </c>
      <c r="B100" s="4" t="s">
        <v>367</v>
      </c>
      <c r="C100" s="4">
        <v>1820</v>
      </c>
      <c r="D100" s="5" t="s">
        <v>38</v>
      </c>
      <c r="E100" s="5" t="s">
        <v>39</v>
      </c>
      <c r="F100" s="6">
        <f>328-228</f>
        <v>100</v>
      </c>
      <c r="G100" s="7">
        <f>484/4</f>
        <v>121</v>
      </c>
      <c r="H100" s="8" t="s">
        <v>15</v>
      </c>
      <c r="I100" s="2">
        <v>145</v>
      </c>
      <c r="J100" s="9" t="s">
        <v>38</v>
      </c>
      <c r="K100" s="4" t="s">
        <v>368</v>
      </c>
      <c r="L100" s="2" t="s">
        <v>369</v>
      </c>
      <c r="M100" s="4" t="str">
        <f>""</f>
        <v/>
      </c>
      <c r="N100" s="10">
        <v>44607</v>
      </c>
      <c r="O100" s="41">
        <v>0</v>
      </c>
      <c r="P100" s="5" t="s">
        <v>20</v>
      </c>
      <c r="Q100" s="10" t="s">
        <v>19</v>
      </c>
      <c r="R100" s="5" t="s">
        <v>19</v>
      </c>
      <c r="S100" s="5" t="s">
        <v>19</v>
      </c>
      <c r="T100" s="11" t="s">
        <v>20</v>
      </c>
    </row>
    <row r="101" spans="1:20" thickTop="1" thickBot="1" x14ac:dyDescent="0.35">
      <c r="A101" s="3" t="s">
        <v>370</v>
      </c>
      <c r="B101" s="4" t="s">
        <v>22</v>
      </c>
      <c r="C101" s="4">
        <v>65</v>
      </c>
      <c r="D101" s="5" t="s">
        <v>23</v>
      </c>
      <c r="E101" s="5" t="s">
        <v>24</v>
      </c>
      <c r="F101" s="6">
        <f>269-190</f>
        <v>79</v>
      </c>
      <c r="G101" s="7">
        <v>110</v>
      </c>
      <c r="H101" s="8" t="s">
        <v>15</v>
      </c>
      <c r="I101" s="2">
        <v>7143</v>
      </c>
      <c r="J101" s="9" t="s">
        <v>25</v>
      </c>
      <c r="K101" s="4" t="s">
        <v>26</v>
      </c>
      <c r="L101" s="4" t="s">
        <v>27</v>
      </c>
      <c r="M101" s="2" t="s">
        <v>27</v>
      </c>
      <c r="N101" s="10">
        <v>44867</v>
      </c>
      <c r="O101" s="41">
        <v>0</v>
      </c>
      <c r="P101" s="5" t="s">
        <v>20</v>
      </c>
      <c r="Q101" s="10" t="s">
        <v>19</v>
      </c>
      <c r="R101" s="5" t="s">
        <v>19</v>
      </c>
      <c r="S101" s="2" t="s">
        <v>20</v>
      </c>
      <c r="T101" s="11" t="s">
        <v>19</v>
      </c>
    </row>
    <row r="102" spans="1:20" thickTop="1" thickBot="1" x14ac:dyDescent="0.35">
      <c r="A102" s="3" t="s">
        <v>371</v>
      </c>
      <c r="B102" s="4" t="s">
        <v>22</v>
      </c>
      <c r="C102" s="4">
        <v>65</v>
      </c>
      <c r="D102" s="5" t="s">
        <v>23</v>
      </c>
      <c r="E102" s="5" t="s">
        <v>24</v>
      </c>
      <c r="F102" s="6">
        <f>387-278</f>
        <v>109</v>
      </c>
      <c r="G102" s="7">
        <v>110</v>
      </c>
      <c r="H102" s="8" t="s">
        <v>15</v>
      </c>
      <c r="I102" s="2">
        <v>7143</v>
      </c>
      <c r="J102" s="9" t="s">
        <v>25</v>
      </c>
      <c r="K102" s="4" t="s">
        <v>26</v>
      </c>
      <c r="L102" s="4" t="s">
        <v>27</v>
      </c>
      <c r="M102" s="4" t="s">
        <v>27</v>
      </c>
      <c r="N102" s="10">
        <v>44867</v>
      </c>
      <c r="O102" s="41">
        <v>0</v>
      </c>
      <c r="P102" s="5" t="s">
        <v>20</v>
      </c>
      <c r="Q102" s="10" t="s">
        <v>19</v>
      </c>
      <c r="R102" s="5" t="s">
        <v>19</v>
      </c>
      <c r="S102" s="5" t="s">
        <v>19</v>
      </c>
      <c r="T102" s="11" t="s">
        <v>20</v>
      </c>
    </row>
    <row r="103" spans="1:20" thickTop="1" thickBot="1" x14ac:dyDescent="0.35">
      <c r="A103" s="3" t="s">
        <v>372</v>
      </c>
      <c r="B103" s="4" t="s">
        <v>148</v>
      </c>
      <c r="C103" s="4">
        <v>1830</v>
      </c>
      <c r="D103" s="5" t="s">
        <v>23</v>
      </c>
      <c r="E103" s="5" t="s">
        <v>39</v>
      </c>
      <c r="F103" s="6">
        <f>207-28</f>
        <v>179</v>
      </c>
      <c r="G103" s="7">
        <v>292</v>
      </c>
      <c r="H103" s="8" t="s">
        <v>15</v>
      </c>
      <c r="I103" s="2">
        <v>1494</v>
      </c>
      <c r="J103" s="9" t="s">
        <v>32</v>
      </c>
      <c r="K103" s="4" t="s">
        <v>373</v>
      </c>
      <c r="L103" s="2" t="s">
        <v>374</v>
      </c>
      <c r="M103" s="2" t="str">
        <f>""</f>
        <v/>
      </c>
      <c r="N103" s="5" t="str">
        <f>""</f>
        <v/>
      </c>
      <c r="O103" s="41">
        <v>2.9</v>
      </c>
      <c r="P103" s="5" t="s">
        <v>19</v>
      </c>
      <c r="Q103" s="10" t="s">
        <v>19</v>
      </c>
      <c r="R103" s="5" t="s">
        <v>19</v>
      </c>
      <c r="S103" s="5" t="s">
        <v>20</v>
      </c>
      <c r="T103" s="11" t="s">
        <v>20</v>
      </c>
    </row>
    <row r="104" spans="1:20" thickTop="1" thickBot="1" x14ac:dyDescent="0.35">
      <c r="A104" s="3" t="s">
        <v>375</v>
      </c>
      <c r="B104" s="4" t="s">
        <v>99</v>
      </c>
      <c r="C104" s="4">
        <v>1899</v>
      </c>
      <c r="D104" s="5" t="s">
        <v>38</v>
      </c>
      <c r="E104" s="5" t="s">
        <v>39</v>
      </c>
      <c r="F104" s="6">
        <f>86-74</f>
        <v>12</v>
      </c>
      <c r="G104" s="7">
        <f>340/3</f>
        <v>113.33333333333333</v>
      </c>
      <c r="H104" s="8" t="s">
        <v>15</v>
      </c>
      <c r="I104" s="2">
        <v>261</v>
      </c>
      <c r="J104" s="9" t="s">
        <v>38</v>
      </c>
      <c r="K104" s="4" t="s">
        <v>100</v>
      </c>
      <c r="L104" s="4" t="s">
        <v>101</v>
      </c>
      <c r="M104" s="2" t="str">
        <f>""</f>
        <v/>
      </c>
      <c r="N104" s="10">
        <v>44686</v>
      </c>
      <c r="O104" s="41"/>
      <c r="P104" s="5" t="s">
        <v>19</v>
      </c>
      <c r="Q104" s="10" t="s">
        <v>19</v>
      </c>
      <c r="R104" s="5" t="s">
        <v>20</v>
      </c>
      <c r="S104" s="2" t="str">
        <f>""</f>
        <v/>
      </c>
      <c r="T104" s="11" t="s">
        <v>20</v>
      </c>
    </row>
    <row r="105" spans="1:20" thickTop="1" thickBot="1" x14ac:dyDescent="0.35">
      <c r="A105" s="3" t="s">
        <v>376</v>
      </c>
      <c r="B105" s="2" t="s">
        <v>377</v>
      </c>
      <c r="C105" s="2">
        <v>1950</v>
      </c>
      <c r="D105" s="5" t="s">
        <v>108</v>
      </c>
      <c r="E105" s="5" t="s">
        <v>46</v>
      </c>
      <c r="F105" s="6">
        <v>637</v>
      </c>
      <c r="G105" s="7">
        <v>692</v>
      </c>
      <c r="H105" s="8" t="s">
        <v>378</v>
      </c>
      <c r="I105" s="2" t="str">
        <f>""</f>
        <v/>
      </c>
      <c r="J105" s="2" t="str">
        <f>""</f>
        <v/>
      </c>
      <c r="K105" s="4" t="s">
        <v>379</v>
      </c>
      <c r="L105" s="2" t="str">
        <f>""</f>
        <v/>
      </c>
      <c r="M105" s="2" t="s">
        <v>380</v>
      </c>
      <c r="N105" s="5" t="str">
        <f>""</f>
        <v/>
      </c>
      <c r="O105" s="41">
        <v>44.95</v>
      </c>
      <c r="P105" s="5" t="s">
        <v>19</v>
      </c>
      <c r="Q105" s="10" t="s">
        <v>19</v>
      </c>
      <c r="R105" s="5" t="s">
        <v>19</v>
      </c>
      <c r="S105" s="2" t="s">
        <v>19</v>
      </c>
      <c r="T105" s="11" t="s">
        <v>20</v>
      </c>
    </row>
    <row r="106" spans="1:20" thickTop="1" thickBot="1" x14ac:dyDescent="0.35">
      <c r="A106" s="3" t="s">
        <v>1109</v>
      </c>
      <c r="B106" s="4" t="s">
        <v>839</v>
      </c>
      <c r="C106" s="4">
        <v>2004</v>
      </c>
      <c r="D106" s="5" t="s">
        <v>108</v>
      </c>
      <c r="E106" s="5" t="s">
        <v>39</v>
      </c>
      <c r="F106" s="6">
        <f>337-18</f>
        <v>319</v>
      </c>
      <c r="G106" s="7">
        <v>372</v>
      </c>
      <c r="H106" s="8" t="s">
        <v>15</v>
      </c>
      <c r="I106" s="2">
        <v>469</v>
      </c>
      <c r="J106" s="9" t="s">
        <v>741</v>
      </c>
      <c r="K106" s="4" t="s">
        <v>1110</v>
      </c>
      <c r="L106" s="4" t="s">
        <v>1111</v>
      </c>
      <c r="N106" s="15">
        <v>45475</v>
      </c>
      <c r="O106" s="42">
        <v>10</v>
      </c>
      <c r="P106" s="5" t="s">
        <v>19</v>
      </c>
      <c r="Q106" s="5" t="s">
        <v>19</v>
      </c>
      <c r="R106" s="5" t="s">
        <v>20</v>
      </c>
      <c r="S106" s="16"/>
      <c r="T106" s="11" t="s">
        <v>20</v>
      </c>
    </row>
    <row r="107" spans="1:20" thickTop="1" thickBot="1" x14ac:dyDescent="0.35">
      <c r="A107" s="3" t="s">
        <v>381</v>
      </c>
      <c r="B107" s="4" t="s">
        <v>200</v>
      </c>
      <c r="C107" s="4">
        <v>-343</v>
      </c>
      <c r="D107" s="5" t="s">
        <v>30</v>
      </c>
      <c r="E107" s="5" t="s">
        <v>75</v>
      </c>
      <c r="F107" s="6">
        <f>646-86</f>
        <v>560</v>
      </c>
      <c r="G107" s="7">
        <v>678</v>
      </c>
      <c r="H107" s="8" t="s">
        <v>15</v>
      </c>
      <c r="I107" s="2">
        <v>1590</v>
      </c>
      <c r="J107" s="9" t="s">
        <v>32</v>
      </c>
      <c r="K107" s="4" t="s">
        <v>382</v>
      </c>
      <c r="L107" s="4" t="s">
        <v>383</v>
      </c>
      <c r="M107" s="2" t="s">
        <v>383</v>
      </c>
      <c r="N107" s="5" t="str">
        <f>""</f>
        <v/>
      </c>
      <c r="O107" s="41">
        <v>16</v>
      </c>
      <c r="P107" s="5" t="s">
        <v>19</v>
      </c>
      <c r="Q107" s="10" t="s">
        <v>19</v>
      </c>
      <c r="R107" s="5" t="s">
        <v>19</v>
      </c>
      <c r="S107" s="2" t="s">
        <v>20</v>
      </c>
      <c r="T107" s="11" t="s">
        <v>20</v>
      </c>
    </row>
    <row r="108" spans="1:20" thickTop="1" thickBot="1" x14ac:dyDescent="0.35">
      <c r="A108" s="3" t="s">
        <v>384</v>
      </c>
      <c r="B108" s="4" t="s">
        <v>385</v>
      </c>
      <c r="C108" s="4">
        <v>1856</v>
      </c>
      <c r="D108" s="5" t="s">
        <v>386</v>
      </c>
      <c r="E108" s="5" t="s">
        <v>46</v>
      </c>
      <c r="F108" s="6">
        <f>439-42</f>
        <v>397</v>
      </c>
      <c r="G108" s="7">
        <v>452</v>
      </c>
      <c r="H108" s="8" t="s">
        <v>57</v>
      </c>
      <c r="I108" s="2">
        <v>604</v>
      </c>
      <c r="J108" s="9" t="s">
        <v>69</v>
      </c>
      <c r="K108" s="4" t="s">
        <v>387</v>
      </c>
      <c r="L108" s="4" t="s">
        <v>388</v>
      </c>
      <c r="M108" s="2" t="s">
        <v>272</v>
      </c>
      <c r="N108" s="10">
        <v>43983</v>
      </c>
      <c r="O108" s="41">
        <v>3.9</v>
      </c>
      <c r="P108" s="5" t="s">
        <v>19</v>
      </c>
      <c r="Q108" s="10" t="s">
        <v>19</v>
      </c>
      <c r="R108" s="5" t="s">
        <v>20</v>
      </c>
      <c r="S108" s="2" t="str">
        <f>""</f>
        <v/>
      </c>
      <c r="T108" s="11" t="s">
        <v>20</v>
      </c>
    </row>
    <row r="109" spans="1:20" thickTop="1" thickBot="1" x14ac:dyDescent="0.35">
      <c r="A109" s="3" t="s">
        <v>389</v>
      </c>
      <c r="B109" s="4" t="s">
        <v>390</v>
      </c>
      <c r="C109" s="4">
        <v>1640</v>
      </c>
      <c r="D109" s="5" t="s">
        <v>23</v>
      </c>
      <c r="E109" s="5" t="s">
        <v>39</v>
      </c>
      <c r="F109" s="6">
        <f>139-66</f>
        <v>73</v>
      </c>
      <c r="G109" s="7">
        <v>226</v>
      </c>
      <c r="H109" s="8" t="s">
        <v>15</v>
      </c>
      <c r="I109" s="2">
        <v>1322</v>
      </c>
      <c r="J109" s="9" t="s">
        <v>32</v>
      </c>
      <c r="K109" s="4" t="s">
        <v>391</v>
      </c>
      <c r="L109" s="4" t="s">
        <v>392</v>
      </c>
      <c r="M109" s="2" t="str">
        <f>""</f>
        <v/>
      </c>
      <c r="N109" s="15">
        <v>44075</v>
      </c>
      <c r="O109" s="42">
        <v>3</v>
      </c>
      <c r="P109" s="5" t="s">
        <v>19</v>
      </c>
      <c r="Q109" s="10" t="s">
        <v>19</v>
      </c>
      <c r="R109" s="5" t="s">
        <v>20</v>
      </c>
      <c r="S109" s="5" t="str">
        <f>""</f>
        <v/>
      </c>
      <c r="T109" s="11" t="s">
        <v>20</v>
      </c>
    </row>
    <row r="110" spans="1:20" thickTop="1" thickBot="1" x14ac:dyDescent="0.35">
      <c r="A110" s="3" t="s">
        <v>393</v>
      </c>
      <c r="B110" s="4" t="s">
        <v>112</v>
      </c>
      <c r="C110" s="4">
        <v>-600</v>
      </c>
      <c r="D110" s="5" t="s">
        <v>38</v>
      </c>
      <c r="E110" s="5" t="s">
        <v>75</v>
      </c>
      <c r="F110" s="6">
        <f>339-174</f>
        <v>165</v>
      </c>
      <c r="G110" s="7">
        <v>105</v>
      </c>
      <c r="H110" s="8" t="s">
        <v>15</v>
      </c>
      <c r="I110" s="2">
        <v>3467</v>
      </c>
      <c r="J110" s="9" t="s">
        <v>25</v>
      </c>
      <c r="K110" s="4" t="s">
        <v>113</v>
      </c>
      <c r="L110" s="4" t="s">
        <v>114</v>
      </c>
      <c r="M110" s="4" t="s">
        <v>114</v>
      </c>
      <c r="N110" s="15">
        <v>44152</v>
      </c>
      <c r="O110" s="42">
        <v>0</v>
      </c>
      <c r="P110" s="5" t="s">
        <v>20</v>
      </c>
      <c r="Q110" s="10" t="s">
        <v>19</v>
      </c>
      <c r="R110" s="5" t="s">
        <v>20</v>
      </c>
      <c r="S110" s="5" t="str">
        <f>""</f>
        <v/>
      </c>
      <c r="T110" s="11" t="s">
        <v>20</v>
      </c>
    </row>
    <row r="111" spans="1:20" thickTop="1" thickBot="1" x14ac:dyDescent="0.35">
      <c r="A111" s="3" t="s">
        <v>394</v>
      </c>
      <c r="B111" s="4" t="s">
        <v>395</v>
      </c>
      <c r="C111" s="4">
        <v>-720</v>
      </c>
      <c r="D111" s="5" t="s">
        <v>38</v>
      </c>
      <c r="E111" s="5" t="s">
        <v>75</v>
      </c>
      <c r="F111" s="6">
        <f>418-22</f>
        <v>396</v>
      </c>
      <c r="G111" s="7">
        <v>516</v>
      </c>
      <c r="H111" s="8" t="s">
        <v>15</v>
      </c>
      <c r="I111" s="2">
        <v>1512</v>
      </c>
      <c r="J111" s="9" t="s">
        <v>32</v>
      </c>
      <c r="K111" s="4" t="s">
        <v>396</v>
      </c>
      <c r="L111" s="4" t="s">
        <v>397</v>
      </c>
      <c r="M111" s="2" t="s">
        <v>398</v>
      </c>
      <c r="N111" s="5" t="str">
        <f>""</f>
        <v/>
      </c>
      <c r="O111" s="41">
        <v>5</v>
      </c>
      <c r="P111" s="5" t="s">
        <v>19</v>
      </c>
      <c r="Q111" s="10" t="s">
        <v>19</v>
      </c>
      <c r="R111" s="5" t="s">
        <v>19</v>
      </c>
      <c r="S111" s="5" t="s">
        <v>20</v>
      </c>
      <c r="T111" s="11" t="s">
        <v>20</v>
      </c>
    </row>
    <row r="112" spans="1:20" thickTop="1" thickBot="1" x14ac:dyDescent="0.35">
      <c r="A112" s="3" t="s">
        <v>399</v>
      </c>
      <c r="B112" s="4" t="s">
        <v>211</v>
      </c>
      <c r="C112" s="4">
        <v>1895</v>
      </c>
      <c r="D112" s="5" t="s">
        <v>38</v>
      </c>
      <c r="E112" s="5" t="s">
        <v>39</v>
      </c>
      <c r="F112" s="6">
        <f>295-254</f>
        <v>41</v>
      </c>
      <c r="G112" s="7">
        <f>476/13</f>
        <v>36.615384615384613</v>
      </c>
      <c r="H112" s="8" t="s">
        <v>15</v>
      </c>
      <c r="I112" s="2">
        <v>1459</v>
      </c>
      <c r="J112" s="9" t="s">
        <v>32</v>
      </c>
      <c r="K112" s="4" t="s">
        <v>212</v>
      </c>
      <c r="L112" s="4" t="s">
        <v>213</v>
      </c>
      <c r="M112" s="2" t="str">
        <f>""</f>
        <v/>
      </c>
      <c r="N112" s="5" t="str">
        <f>""</f>
        <v/>
      </c>
      <c r="O112" s="41">
        <v>0</v>
      </c>
      <c r="P112" s="5" t="s">
        <v>20</v>
      </c>
      <c r="Q112" s="10" t="s">
        <v>19</v>
      </c>
      <c r="R112" s="5" t="s">
        <v>19</v>
      </c>
      <c r="S112" s="2" t="s">
        <v>19</v>
      </c>
      <c r="T112" s="11" t="s">
        <v>20</v>
      </c>
    </row>
    <row r="113" spans="1:20" thickTop="1" thickBot="1" x14ac:dyDescent="0.35">
      <c r="A113" s="3" t="s">
        <v>400</v>
      </c>
      <c r="B113" s="4" t="s">
        <v>311</v>
      </c>
      <c r="C113" s="4">
        <v>1843</v>
      </c>
      <c r="D113" s="5" t="s">
        <v>13</v>
      </c>
      <c r="E113" s="5" t="s">
        <v>39</v>
      </c>
      <c r="F113" s="6">
        <f>822-34</f>
        <v>788</v>
      </c>
      <c r="G113" s="7">
        <v>868</v>
      </c>
      <c r="H113" s="8" t="s">
        <v>57</v>
      </c>
      <c r="I113" s="2">
        <v>21017</v>
      </c>
      <c r="J113" s="9" t="s">
        <v>69</v>
      </c>
      <c r="K113" s="4" t="s">
        <v>401</v>
      </c>
      <c r="L113" s="4" t="s">
        <v>402</v>
      </c>
      <c r="M113" s="4" t="str">
        <f>""</f>
        <v/>
      </c>
      <c r="N113" s="10">
        <v>44562</v>
      </c>
      <c r="O113" s="41">
        <v>6.6</v>
      </c>
      <c r="P113" s="5" t="s">
        <v>19</v>
      </c>
      <c r="Q113" s="10" t="s">
        <v>19</v>
      </c>
      <c r="R113" s="5" t="s">
        <v>20</v>
      </c>
      <c r="S113" s="2" t="str">
        <f>""</f>
        <v/>
      </c>
      <c r="T113" s="11" t="s">
        <v>20</v>
      </c>
    </row>
    <row r="114" spans="1:20" thickTop="1" thickBot="1" x14ac:dyDescent="0.35">
      <c r="A114" s="3" t="s">
        <v>403</v>
      </c>
      <c r="B114" s="4" t="s">
        <v>55</v>
      </c>
      <c r="C114" s="4">
        <v>2013</v>
      </c>
      <c r="D114" s="5" t="s">
        <v>45</v>
      </c>
      <c r="E114" s="5" t="s">
        <v>46</v>
      </c>
      <c r="F114" s="6">
        <v>606</v>
      </c>
      <c r="G114" s="7">
        <v>628</v>
      </c>
      <c r="H114" s="8" t="s">
        <v>56</v>
      </c>
      <c r="I114" s="2">
        <v>33364</v>
      </c>
      <c r="J114" s="9" t="s">
        <v>57</v>
      </c>
      <c r="K114" s="4" t="s">
        <v>404</v>
      </c>
      <c r="L114" s="2" t="str">
        <f>""</f>
        <v/>
      </c>
      <c r="M114" s="4" t="s">
        <v>332</v>
      </c>
      <c r="N114" s="15">
        <v>42408</v>
      </c>
      <c r="O114" s="42"/>
      <c r="P114" s="5" t="s">
        <v>19</v>
      </c>
      <c r="Q114" s="10" t="s">
        <v>19</v>
      </c>
      <c r="R114" s="5" t="s">
        <v>19</v>
      </c>
      <c r="S114" s="5" t="s">
        <v>19</v>
      </c>
      <c r="T114" s="11" t="s">
        <v>20</v>
      </c>
    </row>
    <row r="115" spans="1:20" thickTop="1" thickBot="1" x14ac:dyDescent="0.35">
      <c r="A115" s="3" t="s">
        <v>405</v>
      </c>
      <c r="B115" s="4" t="s">
        <v>301</v>
      </c>
      <c r="C115" s="4">
        <v>1796</v>
      </c>
      <c r="D115" s="5" t="s">
        <v>13</v>
      </c>
      <c r="E115" s="5" t="s">
        <v>39</v>
      </c>
      <c r="F115" s="6">
        <f>304-38</f>
        <v>266</v>
      </c>
      <c r="G115" s="7">
        <v>360</v>
      </c>
      <c r="H115" s="8" t="s">
        <v>15</v>
      </c>
      <c r="I115" s="2">
        <v>1310</v>
      </c>
      <c r="J115" s="9" t="s">
        <v>32</v>
      </c>
      <c r="K115" s="4" t="s">
        <v>406</v>
      </c>
      <c r="L115" s="4" t="s">
        <v>407</v>
      </c>
      <c r="M115" s="2" t="str">
        <f>""</f>
        <v/>
      </c>
      <c r="N115" s="10">
        <v>44774</v>
      </c>
      <c r="O115" s="41">
        <v>4.5</v>
      </c>
      <c r="P115" s="5" t="s">
        <v>19</v>
      </c>
      <c r="Q115" s="10" t="s">
        <v>19</v>
      </c>
      <c r="R115" s="5" t="s">
        <v>20</v>
      </c>
      <c r="S115" s="5" t="str">
        <f>""</f>
        <v/>
      </c>
      <c r="T115" s="11" t="s">
        <v>20</v>
      </c>
    </row>
    <row r="116" spans="1:20" thickTop="1" thickBot="1" x14ac:dyDescent="0.35">
      <c r="A116" s="3" t="s">
        <v>408</v>
      </c>
      <c r="B116" s="4" t="s">
        <v>172</v>
      </c>
      <c r="C116" s="4">
        <v>1866</v>
      </c>
      <c r="D116" s="5" t="s">
        <v>13</v>
      </c>
      <c r="E116" s="5" t="s">
        <v>68</v>
      </c>
      <c r="F116" s="6">
        <v>73</v>
      </c>
      <c r="G116" s="7">
        <f>902/2</f>
        <v>451</v>
      </c>
      <c r="H116" s="8" t="s">
        <v>15</v>
      </c>
      <c r="I116" s="2">
        <v>2661</v>
      </c>
      <c r="J116" s="9" t="s">
        <v>25</v>
      </c>
      <c r="K116" s="4" t="s">
        <v>173</v>
      </c>
      <c r="L116" s="4" t="s">
        <v>174</v>
      </c>
      <c r="M116" s="4" t="s">
        <v>409</v>
      </c>
      <c r="N116" s="15">
        <v>44649</v>
      </c>
      <c r="O116" s="42">
        <v>0</v>
      </c>
      <c r="P116" s="5" t="s">
        <v>19</v>
      </c>
      <c r="Q116" s="10" t="s">
        <v>19</v>
      </c>
      <c r="R116" s="5" t="s">
        <v>19</v>
      </c>
      <c r="S116" s="5" t="s">
        <v>19</v>
      </c>
      <c r="T116" s="11" t="s">
        <v>20</v>
      </c>
    </row>
    <row r="117" spans="1:20" thickTop="1" thickBot="1" x14ac:dyDescent="0.35">
      <c r="A117" s="3" t="s">
        <v>1239</v>
      </c>
      <c r="B117" s="4" t="s">
        <v>1237</v>
      </c>
      <c r="C117" s="4">
        <v>2006</v>
      </c>
      <c r="D117" s="5" t="s">
        <v>1097</v>
      </c>
      <c r="E117" s="5" t="s">
        <v>39</v>
      </c>
      <c r="F117" s="6">
        <v>25</v>
      </c>
      <c r="G117" s="7">
        <v>36</v>
      </c>
      <c r="H117" s="8" t="s">
        <v>1192</v>
      </c>
      <c r="K117" s="4" t="s">
        <v>1240</v>
      </c>
      <c r="L117" s="2"/>
      <c r="O117" s="41">
        <v>6</v>
      </c>
      <c r="P117" s="5" t="s">
        <v>19</v>
      </c>
      <c r="Q117" s="5" t="s">
        <v>19</v>
      </c>
      <c r="R117" s="5" t="s">
        <v>19</v>
      </c>
      <c r="S117" s="16" t="s">
        <v>20</v>
      </c>
      <c r="T117" s="11" t="s">
        <v>20</v>
      </c>
    </row>
    <row r="118" spans="1:20" thickTop="1" thickBot="1" x14ac:dyDescent="0.35">
      <c r="A118" s="3" t="s">
        <v>410</v>
      </c>
      <c r="B118" s="4" t="s">
        <v>411</v>
      </c>
      <c r="C118" s="4">
        <v>1924</v>
      </c>
      <c r="D118" s="5" t="s">
        <v>23</v>
      </c>
      <c r="E118" s="5" t="s">
        <v>39</v>
      </c>
      <c r="F118" s="6">
        <f>152-4</f>
        <v>148</v>
      </c>
      <c r="G118" s="7">
        <v>164</v>
      </c>
      <c r="H118" s="8" t="s">
        <v>15</v>
      </c>
      <c r="I118" s="2">
        <v>60</v>
      </c>
      <c r="J118" s="9" t="s">
        <v>16</v>
      </c>
      <c r="K118" s="4" t="s">
        <v>412</v>
      </c>
      <c r="L118" s="4" t="str">
        <f>""</f>
        <v/>
      </c>
      <c r="M118" s="2" t="str">
        <f>""</f>
        <v/>
      </c>
      <c r="N118" s="10">
        <v>42990</v>
      </c>
      <c r="O118" s="41" t="s">
        <v>1026</v>
      </c>
      <c r="P118" s="5" t="s">
        <v>19</v>
      </c>
      <c r="Q118" s="10" t="s">
        <v>19</v>
      </c>
      <c r="R118" s="5" t="s">
        <v>19</v>
      </c>
      <c r="S118" s="2" t="s">
        <v>20</v>
      </c>
      <c r="T118" s="11" t="s">
        <v>20</v>
      </c>
    </row>
    <row r="119" spans="1:20" thickTop="1" thickBot="1" x14ac:dyDescent="0.35">
      <c r="A119" s="3" t="s">
        <v>413</v>
      </c>
      <c r="B119" s="4" t="s">
        <v>95</v>
      </c>
      <c r="C119" s="4">
        <v>1890</v>
      </c>
      <c r="D119" s="5" t="s">
        <v>13</v>
      </c>
      <c r="E119" s="5" t="s">
        <v>39</v>
      </c>
      <c r="F119" s="6">
        <f>427-32</f>
        <v>395</v>
      </c>
      <c r="G119" s="7">
        <v>516</v>
      </c>
      <c r="H119" s="8" t="s">
        <v>57</v>
      </c>
      <c r="I119" s="2">
        <v>7</v>
      </c>
      <c r="J119" s="9" t="s">
        <v>69</v>
      </c>
      <c r="K119" s="4" t="s">
        <v>414</v>
      </c>
      <c r="L119" s="4" t="s">
        <v>415</v>
      </c>
      <c r="M119" s="4" t="str">
        <f>""</f>
        <v/>
      </c>
      <c r="N119" s="13">
        <v>44197</v>
      </c>
      <c r="O119" s="41">
        <v>3.6</v>
      </c>
      <c r="P119" s="5" t="s">
        <v>19</v>
      </c>
      <c r="Q119" s="10" t="s">
        <v>19</v>
      </c>
      <c r="R119" s="5" t="s">
        <v>20</v>
      </c>
      <c r="S119" s="2" t="str">
        <f>""</f>
        <v/>
      </c>
      <c r="T119" s="11" t="s">
        <v>19</v>
      </c>
    </row>
    <row r="120" spans="1:20" thickTop="1" thickBot="1" x14ac:dyDescent="0.35">
      <c r="A120" s="3" t="s">
        <v>416</v>
      </c>
      <c r="B120" s="4" t="s">
        <v>417</v>
      </c>
      <c r="C120" s="4">
        <v>100</v>
      </c>
      <c r="D120" s="5" t="s">
        <v>418</v>
      </c>
      <c r="E120" s="5" t="s">
        <v>24</v>
      </c>
      <c r="F120" s="6">
        <f>2084-32</f>
        <v>2052</v>
      </c>
      <c r="G120" s="7">
        <v>2100</v>
      </c>
      <c r="H120" s="8" t="str">
        <f>""</f>
        <v/>
      </c>
      <c r="I120" s="2" t="str">
        <f>""</f>
        <v/>
      </c>
      <c r="J120" s="2" t="str">
        <f>""</f>
        <v/>
      </c>
      <c r="K120" s="4" t="s">
        <v>419</v>
      </c>
      <c r="L120" s="4" t="str">
        <f>""</f>
        <v/>
      </c>
      <c r="M120" s="2" t="str">
        <f>""</f>
        <v/>
      </c>
      <c r="N120" s="13">
        <v>45139</v>
      </c>
      <c r="O120" s="41"/>
      <c r="P120" s="5" t="s">
        <v>19</v>
      </c>
      <c r="Q120" s="10" t="s">
        <v>19</v>
      </c>
      <c r="R120" s="5" t="s">
        <v>20</v>
      </c>
      <c r="S120" s="2" t="str">
        <f>""</f>
        <v/>
      </c>
      <c r="T120" s="11" t="s">
        <v>20</v>
      </c>
    </row>
    <row r="121" spans="1:20" thickTop="1" thickBot="1" x14ac:dyDescent="0.35">
      <c r="A121" s="3" t="s">
        <v>420</v>
      </c>
      <c r="B121" s="4" t="s">
        <v>22</v>
      </c>
      <c r="C121" s="4">
        <v>49</v>
      </c>
      <c r="D121" s="5" t="s">
        <v>30</v>
      </c>
      <c r="E121" s="5" t="s">
        <v>24</v>
      </c>
      <c r="F121" s="6">
        <f>139-98</f>
        <v>41</v>
      </c>
      <c r="G121" s="7">
        <f>164/2</f>
        <v>82</v>
      </c>
      <c r="H121" s="8" t="s">
        <v>15</v>
      </c>
      <c r="I121" s="2">
        <v>1244</v>
      </c>
      <c r="J121" s="2" t="s">
        <v>32</v>
      </c>
      <c r="K121" s="4" t="s">
        <v>421</v>
      </c>
      <c r="L121" s="4" t="s">
        <v>383</v>
      </c>
      <c r="M121" s="2" t="s">
        <v>383</v>
      </c>
      <c r="N121" s="2" t="str">
        <f>""</f>
        <v/>
      </c>
      <c r="O121" s="42"/>
      <c r="P121" s="5" t="s">
        <v>20</v>
      </c>
      <c r="Q121" s="10" t="s">
        <v>19</v>
      </c>
      <c r="R121" s="5" t="s">
        <v>19</v>
      </c>
      <c r="S121" s="5" t="s">
        <v>20</v>
      </c>
      <c r="T121" s="11" t="s">
        <v>20</v>
      </c>
    </row>
    <row r="122" spans="1:20" thickTop="1" thickBot="1" x14ac:dyDescent="0.35">
      <c r="A122" s="3" t="s">
        <v>422</v>
      </c>
      <c r="B122" s="4" t="s">
        <v>423</v>
      </c>
      <c r="C122" s="4">
        <v>1000</v>
      </c>
      <c r="D122" s="5" t="s">
        <v>38</v>
      </c>
      <c r="E122" s="5" t="s">
        <v>39</v>
      </c>
      <c r="F122" s="6">
        <v>117</v>
      </c>
      <c r="G122" s="7">
        <v>292</v>
      </c>
      <c r="H122" s="8" t="s">
        <v>57</v>
      </c>
      <c r="I122" s="2">
        <v>4524</v>
      </c>
      <c r="J122" s="9" t="s">
        <v>424</v>
      </c>
      <c r="K122" s="4" t="s">
        <v>425</v>
      </c>
      <c r="L122" s="4" t="s">
        <v>426</v>
      </c>
      <c r="M122" s="2" t="str">
        <f>""</f>
        <v/>
      </c>
      <c r="N122" s="13">
        <v>37956</v>
      </c>
      <c r="O122" s="41">
        <v>6</v>
      </c>
      <c r="P122" s="5" t="s">
        <v>19</v>
      </c>
      <c r="Q122" s="10" t="s">
        <v>19</v>
      </c>
      <c r="R122" s="5" t="s">
        <v>20</v>
      </c>
      <c r="S122" s="5" t="str">
        <f>""</f>
        <v/>
      </c>
      <c r="T122" s="11" t="s">
        <v>20</v>
      </c>
    </row>
    <row r="123" spans="1:20" thickTop="1" thickBot="1" x14ac:dyDescent="0.35">
      <c r="A123" s="3" t="s">
        <v>427</v>
      </c>
      <c r="B123" s="4" t="s">
        <v>95</v>
      </c>
      <c r="C123" s="4">
        <v>1874</v>
      </c>
      <c r="D123" s="5" t="s">
        <v>13</v>
      </c>
      <c r="E123" s="5" t="s">
        <v>39</v>
      </c>
      <c r="F123" s="6">
        <f>443-30</f>
        <v>413</v>
      </c>
      <c r="G123" s="7">
        <v>516</v>
      </c>
      <c r="H123" s="8" t="s">
        <v>57</v>
      </c>
      <c r="I123" s="2">
        <v>384</v>
      </c>
      <c r="J123" s="9" t="s">
        <v>69</v>
      </c>
      <c r="K123" s="4" t="s">
        <v>428</v>
      </c>
      <c r="L123" s="4" t="s">
        <v>351</v>
      </c>
      <c r="M123" s="2" t="str">
        <f>""</f>
        <v/>
      </c>
      <c r="N123" s="10">
        <v>45139</v>
      </c>
      <c r="O123" s="41"/>
      <c r="P123" s="5" t="s">
        <v>19</v>
      </c>
      <c r="Q123" s="10" t="s">
        <v>19</v>
      </c>
      <c r="R123" s="5" t="s">
        <v>20</v>
      </c>
      <c r="S123" s="2" t="str">
        <f>""</f>
        <v/>
      </c>
      <c r="T123" s="11" t="s">
        <v>20</v>
      </c>
    </row>
    <row r="124" spans="1:20" thickTop="1" thickBot="1" x14ac:dyDescent="0.35">
      <c r="A124" s="3" t="s">
        <v>429</v>
      </c>
      <c r="B124" s="4" t="s">
        <v>95</v>
      </c>
      <c r="C124" s="4">
        <v>1871</v>
      </c>
      <c r="D124" s="5" t="s">
        <v>13</v>
      </c>
      <c r="E124" s="5" t="s">
        <v>39</v>
      </c>
      <c r="F124" s="6">
        <f>398-48</f>
        <v>350</v>
      </c>
      <c r="G124" s="7">
        <v>468</v>
      </c>
      <c r="H124" s="8" t="s">
        <v>15</v>
      </c>
      <c r="I124" s="2">
        <v>1552</v>
      </c>
      <c r="J124" s="9" t="s">
        <v>32</v>
      </c>
      <c r="K124" s="4" t="s">
        <v>430</v>
      </c>
      <c r="L124" s="4" t="s">
        <v>431</v>
      </c>
      <c r="M124" s="2" t="str">
        <f>""</f>
        <v/>
      </c>
      <c r="N124" s="5" t="str">
        <f>""</f>
        <v/>
      </c>
      <c r="O124" s="41"/>
      <c r="P124" s="5" t="s">
        <v>19</v>
      </c>
      <c r="Q124" s="10" t="s">
        <v>19</v>
      </c>
      <c r="R124" s="5" t="s">
        <v>19</v>
      </c>
      <c r="S124" s="2" t="s">
        <v>20</v>
      </c>
      <c r="T124" s="11" t="s">
        <v>20</v>
      </c>
    </row>
    <row r="125" spans="1:20" thickTop="1" thickBot="1" x14ac:dyDescent="0.35">
      <c r="A125" s="3" t="s">
        <v>432</v>
      </c>
      <c r="B125" s="4" t="s">
        <v>433</v>
      </c>
      <c r="C125" s="4">
        <v>1848</v>
      </c>
      <c r="D125" s="5" t="s">
        <v>13</v>
      </c>
      <c r="E125" s="5" t="s">
        <v>39</v>
      </c>
      <c r="F125" s="6">
        <f>310-12</f>
        <v>298</v>
      </c>
      <c r="G125" s="7">
        <v>386</v>
      </c>
      <c r="H125" s="8" t="s">
        <v>15</v>
      </c>
      <c r="I125" s="2">
        <v>704</v>
      </c>
      <c r="J125" s="9" t="s">
        <v>25</v>
      </c>
      <c r="K125" s="4" t="s">
        <v>434</v>
      </c>
      <c r="L125" s="4" t="s">
        <v>71</v>
      </c>
      <c r="N125" s="15">
        <v>45600</v>
      </c>
      <c r="O125" s="42"/>
      <c r="P125" s="5" t="s">
        <v>19</v>
      </c>
      <c r="Q125" s="5" t="s">
        <v>19</v>
      </c>
      <c r="R125" s="5" t="s">
        <v>20</v>
      </c>
      <c r="S125" s="43"/>
      <c r="T125" s="11" t="s">
        <v>20</v>
      </c>
    </row>
    <row r="126" spans="1:20" thickTop="1" thickBot="1" x14ac:dyDescent="0.35">
      <c r="A126" s="3" t="s">
        <v>435</v>
      </c>
      <c r="B126" s="4" t="s">
        <v>436</v>
      </c>
      <c r="C126" s="4">
        <v>1321</v>
      </c>
      <c r="D126" s="5" t="s">
        <v>38</v>
      </c>
      <c r="E126" s="5" t="s">
        <v>130</v>
      </c>
      <c r="F126" s="6">
        <f>506-6</f>
        <v>500</v>
      </c>
      <c r="G126" s="7">
        <f>634+41</f>
        <v>675</v>
      </c>
      <c r="H126" s="8" t="s">
        <v>15</v>
      </c>
      <c r="I126" s="2">
        <v>1461</v>
      </c>
      <c r="J126" s="9" t="s">
        <v>32</v>
      </c>
      <c r="K126" s="4" t="s">
        <v>437</v>
      </c>
      <c r="L126" s="2" t="s">
        <v>438</v>
      </c>
      <c r="M126" s="2" t="s">
        <v>438</v>
      </c>
      <c r="N126" s="5" t="str">
        <f>""</f>
        <v/>
      </c>
      <c r="O126" s="41"/>
      <c r="P126" s="5" t="s">
        <v>19</v>
      </c>
      <c r="Q126" s="10" t="s">
        <v>19</v>
      </c>
      <c r="R126" s="5" t="s">
        <v>19</v>
      </c>
      <c r="S126" s="2" t="s">
        <v>19</v>
      </c>
      <c r="T126" s="11" t="s">
        <v>20</v>
      </c>
    </row>
    <row r="127" spans="1:20" thickTop="1" thickBot="1" x14ac:dyDescent="0.35">
      <c r="A127" s="3" t="s">
        <v>439</v>
      </c>
      <c r="B127" s="4" t="s">
        <v>440</v>
      </c>
      <c r="C127" s="4">
        <v>1723</v>
      </c>
      <c r="D127" s="5" t="s">
        <v>23</v>
      </c>
      <c r="E127" s="5" t="s">
        <v>39</v>
      </c>
      <c r="F127" s="6">
        <f>101-18</f>
        <v>83</v>
      </c>
      <c r="G127" s="7">
        <v>168</v>
      </c>
      <c r="H127" s="8" t="s">
        <v>15</v>
      </c>
      <c r="I127" s="2">
        <v>952</v>
      </c>
      <c r="J127" s="9" t="s">
        <v>32</v>
      </c>
      <c r="K127" s="4" t="s">
        <v>441</v>
      </c>
      <c r="L127" s="2" t="s">
        <v>442</v>
      </c>
      <c r="M127" s="2" t="str">
        <f>""</f>
        <v/>
      </c>
      <c r="N127" s="10">
        <v>45078</v>
      </c>
      <c r="O127" s="41">
        <v>2.9</v>
      </c>
      <c r="P127" s="5" t="s">
        <v>19</v>
      </c>
      <c r="Q127" s="10" t="s">
        <v>19</v>
      </c>
      <c r="R127" s="5" t="s">
        <v>19</v>
      </c>
      <c r="S127" s="5" t="s">
        <v>20</v>
      </c>
      <c r="T127" s="11" t="s">
        <v>20</v>
      </c>
    </row>
    <row r="128" spans="1:20" thickTop="1" thickBot="1" x14ac:dyDescent="0.35">
      <c r="A128" s="3" t="s">
        <v>443</v>
      </c>
      <c r="B128" s="4" t="s">
        <v>95</v>
      </c>
      <c r="C128" s="4">
        <v>1875</v>
      </c>
      <c r="D128" s="5" t="s">
        <v>13</v>
      </c>
      <c r="E128" s="5" t="s">
        <v>39</v>
      </c>
      <c r="F128" s="6">
        <f>566-66</f>
        <v>500</v>
      </c>
      <c r="G128" s="7">
        <v>676</v>
      </c>
      <c r="H128" s="8" t="s">
        <v>57</v>
      </c>
      <c r="I128" s="2">
        <v>69</v>
      </c>
      <c r="J128" s="2" t="s">
        <v>69</v>
      </c>
      <c r="K128" s="4" t="s">
        <v>444</v>
      </c>
      <c r="L128" s="2" t="s">
        <v>97</v>
      </c>
      <c r="M128" s="4" t="str">
        <f>""</f>
        <v/>
      </c>
      <c r="N128" s="10">
        <v>45078</v>
      </c>
      <c r="O128" s="41"/>
      <c r="P128" s="5" t="s">
        <v>19</v>
      </c>
      <c r="Q128" s="10" t="s">
        <v>19</v>
      </c>
      <c r="R128" s="5" t="s">
        <v>20</v>
      </c>
      <c r="S128" s="5" t="str">
        <f>""</f>
        <v/>
      </c>
      <c r="T128" s="11" t="s">
        <v>20</v>
      </c>
    </row>
    <row r="129" spans="1:20" thickTop="1" thickBot="1" x14ac:dyDescent="0.35">
      <c r="A129" s="3" t="s">
        <v>445</v>
      </c>
      <c r="B129" s="4" t="s">
        <v>12</v>
      </c>
      <c r="C129" s="4">
        <v>1945</v>
      </c>
      <c r="D129" s="5" t="s">
        <v>13</v>
      </c>
      <c r="E129" s="5" t="s">
        <v>14</v>
      </c>
      <c r="F129" s="6">
        <f>144-18</f>
        <v>126</v>
      </c>
      <c r="G129" s="7">
        <v>228</v>
      </c>
      <c r="H129" s="8" t="s">
        <v>15</v>
      </c>
      <c r="I129" s="2">
        <v>6982</v>
      </c>
      <c r="J129" s="9" t="s">
        <v>25</v>
      </c>
      <c r="K129" s="4" t="s">
        <v>446</v>
      </c>
      <c r="L129" s="2" t="s">
        <v>447</v>
      </c>
      <c r="M129" s="2" t="s">
        <v>448</v>
      </c>
      <c r="N129" s="10">
        <v>44921</v>
      </c>
      <c r="O129" s="41" t="s">
        <v>1007</v>
      </c>
      <c r="P129" s="5" t="s">
        <v>19</v>
      </c>
      <c r="Q129" s="10" t="s">
        <v>19</v>
      </c>
      <c r="R129" s="5" t="s">
        <v>20</v>
      </c>
      <c r="S129" s="5" t="str">
        <f>""</f>
        <v/>
      </c>
      <c r="T129" s="11" t="s">
        <v>20</v>
      </c>
    </row>
    <row r="130" spans="1:20" thickTop="1" thickBot="1" x14ac:dyDescent="0.35">
      <c r="A130" s="3" t="s">
        <v>449</v>
      </c>
      <c r="B130" s="4" t="s">
        <v>450</v>
      </c>
      <c r="C130" s="4">
        <v>2013</v>
      </c>
      <c r="D130" s="5" t="s">
        <v>161</v>
      </c>
      <c r="E130" s="5" t="s">
        <v>68</v>
      </c>
      <c r="F130" s="6">
        <f>652-16</f>
        <v>636</v>
      </c>
      <c r="G130" s="7">
        <v>692</v>
      </c>
      <c r="H130" s="8" t="s">
        <v>451</v>
      </c>
      <c r="I130" s="2">
        <v>1415</v>
      </c>
      <c r="K130" s="4" t="s">
        <v>452</v>
      </c>
      <c r="L130" s="4" t="str">
        <f>""</f>
        <v/>
      </c>
      <c r="M130" s="2" t="s">
        <v>453</v>
      </c>
      <c r="N130" s="5" t="str">
        <f>""</f>
        <v/>
      </c>
      <c r="O130" s="41">
        <v>12.5</v>
      </c>
      <c r="P130" s="5" t="s">
        <v>19</v>
      </c>
      <c r="Q130" s="10" t="s">
        <v>19</v>
      </c>
      <c r="R130" s="5" t="s">
        <v>19</v>
      </c>
      <c r="S130" s="5" t="s">
        <v>19</v>
      </c>
      <c r="T130" s="11" t="s">
        <v>20</v>
      </c>
    </row>
    <row r="131" spans="1:20" thickTop="1" thickBot="1" x14ac:dyDescent="0.35">
      <c r="A131" s="3" t="s">
        <v>454</v>
      </c>
      <c r="B131" s="4" t="s">
        <v>95</v>
      </c>
      <c r="C131" s="4">
        <v>1871</v>
      </c>
      <c r="D131" s="5" t="s">
        <v>13</v>
      </c>
      <c r="E131" s="5" t="s">
        <v>39</v>
      </c>
      <c r="F131" s="6">
        <f>442-38</f>
        <v>404</v>
      </c>
      <c r="G131" s="7">
        <v>484</v>
      </c>
      <c r="H131" s="8" t="s">
        <v>57</v>
      </c>
      <c r="I131" s="2">
        <v>531</v>
      </c>
      <c r="J131" s="9" t="s">
        <v>69</v>
      </c>
      <c r="K131" s="4" t="s">
        <v>455</v>
      </c>
      <c r="L131" s="4" t="s">
        <v>351</v>
      </c>
      <c r="M131" s="4" t="str">
        <f>""</f>
        <v/>
      </c>
      <c r="N131" s="15">
        <v>44317</v>
      </c>
      <c r="O131" s="42">
        <v>4.8</v>
      </c>
      <c r="P131" s="5" t="s">
        <v>19</v>
      </c>
      <c r="Q131" s="10" t="s">
        <v>19</v>
      </c>
      <c r="R131" s="5" t="s">
        <v>19</v>
      </c>
      <c r="S131" s="5" t="s">
        <v>19</v>
      </c>
      <c r="T131" s="11" t="s">
        <v>20</v>
      </c>
    </row>
    <row r="132" spans="1:20" thickTop="1" thickBot="1" x14ac:dyDescent="0.35">
      <c r="A132" s="3" t="s">
        <v>456</v>
      </c>
      <c r="B132" s="4" t="s">
        <v>457</v>
      </c>
      <c r="C132" s="4">
        <v>-51</v>
      </c>
      <c r="D132" s="5" t="s">
        <v>161</v>
      </c>
      <c r="E132" s="5" t="s">
        <v>24</v>
      </c>
      <c r="F132" s="6">
        <f>219-12</f>
        <v>207</v>
      </c>
      <c r="G132" s="7">
        <v>258</v>
      </c>
      <c r="H132" s="8" t="s">
        <v>15</v>
      </c>
      <c r="I132" s="2">
        <v>12</v>
      </c>
      <c r="J132" s="9" t="s">
        <v>32</v>
      </c>
      <c r="K132" s="4" t="s">
        <v>458</v>
      </c>
      <c r="L132" s="2" t="s">
        <v>282</v>
      </c>
      <c r="M132" s="2" t="s">
        <v>282</v>
      </c>
      <c r="N132" s="5" t="str">
        <f>""</f>
        <v/>
      </c>
      <c r="O132" s="41">
        <v>6</v>
      </c>
      <c r="P132" s="5" t="s">
        <v>19</v>
      </c>
      <c r="Q132" s="10" t="s">
        <v>19</v>
      </c>
      <c r="R132" s="5" t="s">
        <v>19</v>
      </c>
      <c r="S132" s="2" t="s">
        <v>20</v>
      </c>
      <c r="T132" s="11" t="s">
        <v>20</v>
      </c>
    </row>
    <row r="133" spans="1:20" thickTop="1" thickBot="1" x14ac:dyDescent="0.35">
      <c r="A133" s="3" t="s">
        <v>459</v>
      </c>
      <c r="B133" s="4" t="s">
        <v>450</v>
      </c>
      <c r="C133" s="4">
        <v>1985</v>
      </c>
      <c r="D133" s="5" t="s">
        <v>161</v>
      </c>
      <c r="E133" s="5" t="s">
        <v>68</v>
      </c>
      <c r="F133" s="6">
        <f>412-2</f>
        <v>410</v>
      </c>
      <c r="G133" s="7">
        <v>420</v>
      </c>
      <c r="H133" s="8" t="s">
        <v>277</v>
      </c>
      <c r="I133" s="2">
        <v>7552</v>
      </c>
      <c r="J133" s="9" t="s">
        <v>460</v>
      </c>
      <c r="K133" s="4" t="s">
        <v>461</v>
      </c>
      <c r="L133" s="4" t="str">
        <f>""</f>
        <v/>
      </c>
      <c r="M133" s="2" t="s">
        <v>462</v>
      </c>
      <c r="N133" s="10">
        <v>44931</v>
      </c>
      <c r="O133" s="41">
        <v>8.8000000000000007</v>
      </c>
      <c r="P133" s="5" t="s">
        <v>19</v>
      </c>
      <c r="Q133" s="10" t="s">
        <v>19</v>
      </c>
      <c r="R133" s="5" t="s">
        <v>19</v>
      </c>
      <c r="S133" s="5" t="s">
        <v>19</v>
      </c>
      <c r="T133" s="11" t="s">
        <v>20</v>
      </c>
    </row>
    <row r="134" spans="1:20" thickTop="1" thickBot="1" x14ac:dyDescent="0.35">
      <c r="A134" s="3" t="s">
        <v>463</v>
      </c>
      <c r="B134" s="4" t="s">
        <v>464</v>
      </c>
      <c r="C134" s="4">
        <v>1934</v>
      </c>
      <c r="D134" s="5" t="s">
        <v>23</v>
      </c>
      <c r="E134" s="5" t="s">
        <v>39</v>
      </c>
      <c r="F134" s="6">
        <f>155-22</f>
        <v>133</v>
      </c>
      <c r="G134" s="7">
        <v>196</v>
      </c>
      <c r="H134" s="8" t="s">
        <v>57</v>
      </c>
      <c r="I134" s="2">
        <v>854</v>
      </c>
      <c r="J134" s="9" t="s">
        <v>465</v>
      </c>
      <c r="K134" s="4" t="s">
        <v>466</v>
      </c>
      <c r="L134" s="4" t="s">
        <v>467</v>
      </c>
      <c r="M134" s="4" t="str">
        <f>""</f>
        <v/>
      </c>
      <c r="N134" s="10">
        <v>43101</v>
      </c>
      <c r="O134" s="41">
        <v>4.3</v>
      </c>
      <c r="P134" s="5" t="s">
        <v>19</v>
      </c>
      <c r="Q134" s="10" t="s">
        <v>19</v>
      </c>
      <c r="R134" s="5" t="s">
        <v>20</v>
      </c>
      <c r="S134" s="2" t="str">
        <f>""</f>
        <v/>
      </c>
      <c r="T134" s="11" t="s">
        <v>20</v>
      </c>
    </row>
    <row r="135" spans="1:20" thickTop="1" thickBot="1" x14ac:dyDescent="0.35">
      <c r="A135" s="3" t="s">
        <v>468</v>
      </c>
      <c r="B135" s="4" t="s">
        <v>469</v>
      </c>
      <c r="C135" s="4">
        <v>1915</v>
      </c>
      <c r="D135" s="5" t="s">
        <v>13</v>
      </c>
      <c r="E135" s="5" t="s">
        <v>31</v>
      </c>
      <c r="F135" s="6">
        <f>95-18</f>
        <v>77</v>
      </c>
      <c r="G135" s="7">
        <v>126</v>
      </c>
      <c r="H135" s="8" t="s">
        <v>15</v>
      </c>
      <c r="I135" s="2">
        <v>1452</v>
      </c>
      <c r="J135" s="9" t="s">
        <v>32</v>
      </c>
      <c r="K135" s="4" t="s">
        <v>470</v>
      </c>
      <c r="L135" s="4" t="s">
        <v>471</v>
      </c>
      <c r="M135" s="4" t="s">
        <v>471</v>
      </c>
      <c r="N135" s="15">
        <v>44986</v>
      </c>
      <c r="O135" s="42">
        <v>2.4</v>
      </c>
      <c r="P135" s="5" t="s">
        <v>19</v>
      </c>
      <c r="Q135" s="10" t="s">
        <v>19</v>
      </c>
      <c r="R135" s="5" t="s">
        <v>20</v>
      </c>
      <c r="S135" s="2" t="str">
        <f>""</f>
        <v/>
      </c>
      <c r="T135" s="11" t="s">
        <v>20</v>
      </c>
    </row>
    <row r="136" spans="1:20" thickTop="1" thickBot="1" x14ac:dyDescent="0.35">
      <c r="A136" s="3" t="s">
        <v>472</v>
      </c>
      <c r="B136" s="4" t="s">
        <v>473</v>
      </c>
      <c r="C136" s="4">
        <v>2016</v>
      </c>
      <c r="D136" s="5" t="s">
        <v>85</v>
      </c>
      <c r="E136" s="5" t="s">
        <v>39</v>
      </c>
      <c r="F136" s="6">
        <f>734-0</f>
        <v>734</v>
      </c>
      <c r="G136" s="7">
        <v>756</v>
      </c>
      <c r="H136" s="8" t="s">
        <v>474</v>
      </c>
      <c r="I136" s="2" t="str">
        <f>""</f>
        <v/>
      </c>
      <c r="J136" s="9" t="str">
        <f>""</f>
        <v/>
      </c>
      <c r="K136" s="4" t="s">
        <v>475</v>
      </c>
      <c r="L136" s="4" t="s">
        <v>473</v>
      </c>
      <c r="M136" s="4" t="str">
        <f>""</f>
        <v/>
      </c>
      <c r="N136" s="13">
        <v>45444</v>
      </c>
      <c r="O136" s="41"/>
      <c r="P136" s="5" t="s">
        <v>19</v>
      </c>
      <c r="Q136" s="10" t="s">
        <v>19</v>
      </c>
      <c r="R136" s="5" t="s">
        <v>20</v>
      </c>
      <c r="S136" s="5" t="str">
        <f>""</f>
        <v/>
      </c>
      <c r="T136" s="11" t="s">
        <v>20</v>
      </c>
    </row>
    <row r="137" spans="1:20" thickTop="1" thickBot="1" x14ac:dyDescent="0.35">
      <c r="A137" s="3" t="s">
        <v>476</v>
      </c>
      <c r="B137" s="4" t="s">
        <v>477</v>
      </c>
      <c r="C137" s="4">
        <v>2013</v>
      </c>
      <c r="D137" s="5" t="s">
        <v>85</v>
      </c>
      <c r="E137" s="5" t="s">
        <v>39</v>
      </c>
      <c r="F137" s="6">
        <f>646-0</f>
        <v>646</v>
      </c>
      <c r="G137" s="7">
        <v>676</v>
      </c>
      <c r="H137" s="8" t="s">
        <v>474</v>
      </c>
      <c r="I137" s="2" t="str">
        <f>""</f>
        <v/>
      </c>
      <c r="J137" s="9" t="str">
        <f>""</f>
        <v/>
      </c>
      <c r="K137" s="4" t="s">
        <v>478</v>
      </c>
      <c r="L137" s="2" t="s">
        <v>479</v>
      </c>
      <c r="M137" s="2" t="str">
        <f>""</f>
        <v/>
      </c>
      <c r="N137" s="5" t="str">
        <f>""</f>
        <v/>
      </c>
      <c r="O137" s="41"/>
      <c r="P137" s="5" t="s">
        <v>19</v>
      </c>
      <c r="Q137" s="10" t="s">
        <v>19</v>
      </c>
      <c r="R137" s="5" t="s">
        <v>19</v>
      </c>
      <c r="S137" s="5" t="s">
        <v>19</v>
      </c>
      <c r="T137" s="11" t="s">
        <v>20</v>
      </c>
    </row>
    <row r="138" spans="1:20" thickTop="1" thickBot="1" x14ac:dyDescent="0.35">
      <c r="A138" s="3" t="s">
        <v>480</v>
      </c>
      <c r="B138" s="4" t="s">
        <v>481</v>
      </c>
      <c r="C138" s="4">
        <v>1991</v>
      </c>
      <c r="D138" s="5" t="s">
        <v>23</v>
      </c>
      <c r="E138" s="5" t="s">
        <v>39</v>
      </c>
      <c r="F138" s="6">
        <f>114-12</f>
        <v>102</v>
      </c>
      <c r="G138" s="7">
        <v>164</v>
      </c>
      <c r="H138" s="8" t="s">
        <v>482</v>
      </c>
      <c r="I138" s="2">
        <v>61</v>
      </c>
      <c r="J138" s="9" t="s">
        <v>483</v>
      </c>
      <c r="K138" s="4" t="s">
        <v>484</v>
      </c>
      <c r="L138" s="4" t="s">
        <v>485</v>
      </c>
      <c r="M138" s="4" t="str">
        <f>""</f>
        <v/>
      </c>
      <c r="N138" s="10">
        <v>43132</v>
      </c>
      <c r="O138" s="41"/>
      <c r="P138" s="5" t="s">
        <v>19</v>
      </c>
      <c r="Q138" s="10" t="s">
        <v>19</v>
      </c>
      <c r="R138" s="5" t="s">
        <v>19</v>
      </c>
      <c r="S138" s="5" t="s">
        <v>20</v>
      </c>
      <c r="T138" s="11" t="s">
        <v>20</v>
      </c>
    </row>
    <row r="139" spans="1:20" thickTop="1" thickBot="1" x14ac:dyDescent="0.35">
      <c r="A139" s="3" t="s">
        <v>486</v>
      </c>
      <c r="B139" s="4" t="s">
        <v>311</v>
      </c>
      <c r="C139" s="4">
        <v>1831</v>
      </c>
      <c r="D139" s="5" t="s">
        <v>13</v>
      </c>
      <c r="E139" s="5" t="s">
        <v>39</v>
      </c>
      <c r="F139" s="6">
        <f>375-18</f>
        <v>357</v>
      </c>
      <c r="G139" s="7">
        <v>452</v>
      </c>
      <c r="H139" s="8" t="s">
        <v>15</v>
      </c>
      <c r="I139" s="2">
        <v>555</v>
      </c>
      <c r="J139" s="2" t="s">
        <v>25</v>
      </c>
      <c r="K139" s="4" t="s">
        <v>487</v>
      </c>
      <c r="L139" s="4" t="s">
        <v>488</v>
      </c>
      <c r="M139" s="4" t="str">
        <f>""</f>
        <v/>
      </c>
      <c r="N139" s="15">
        <v>44299</v>
      </c>
      <c r="O139" s="42" t="s">
        <v>1006</v>
      </c>
      <c r="P139" s="5" t="s">
        <v>19</v>
      </c>
      <c r="Q139" s="10" t="s">
        <v>19</v>
      </c>
      <c r="R139" s="5" t="s">
        <v>20</v>
      </c>
      <c r="S139" s="5" t="str">
        <f>""</f>
        <v/>
      </c>
      <c r="T139" s="11" t="s">
        <v>20</v>
      </c>
    </row>
    <row r="140" spans="1:20" thickTop="1" thickBot="1" x14ac:dyDescent="0.35">
      <c r="A140" s="3" t="s">
        <v>1247</v>
      </c>
      <c r="B140" s="4" t="s">
        <v>1248</v>
      </c>
      <c r="C140" s="4">
        <v>2011</v>
      </c>
      <c r="D140" s="5" t="s">
        <v>30</v>
      </c>
      <c r="E140" s="5" t="s">
        <v>39</v>
      </c>
      <c r="F140" s="6">
        <f>480-10</f>
        <v>470</v>
      </c>
      <c r="G140" s="7">
        <v>484</v>
      </c>
      <c r="H140" s="8" t="s">
        <v>1249</v>
      </c>
      <c r="K140" s="4" t="s">
        <v>1250</v>
      </c>
      <c r="M140" s="2"/>
      <c r="O140" s="41">
        <v>12.99</v>
      </c>
      <c r="P140" s="5" t="s">
        <v>19</v>
      </c>
      <c r="Q140" s="5" t="s">
        <v>19</v>
      </c>
      <c r="R140" s="5" t="s">
        <v>19</v>
      </c>
      <c r="S140" s="43" t="s">
        <v>20</v>
      </c>
      <c r="T140" s="11" t="s">
        <v>20</v>
      </c>
    </row>
    <row r="141" spans="1:20" thickTop="1" thickBot="1" x14ac:dyDescent="0.35">
      <c r="A141" s="3" t="s">
        <v>489</v>
      </c>
      <c r="B141" s="4" t="s">
        <v>490</v>
      </c>
      <c r="C141" s="4">
        <v>1678</v>
      </c>
      <c r="D141" s="5" t="s">
        <v>13</v>
      </c>
      <c r="E141" s="5" t="s">
        <v>39</v>
      </c>
      <c r="F141" s="6">
        <f>239-44</f>
        <v>195</v>
      </c>
      <c r="G141" s="7">
        <v>260</v>
      </c>
      <c r="H141" s="8" t="s">
        <v>57</v>
      </c>
      <c r="I141" s="2">
        <v>374</v>
      </c>
      <c r="J141" s="9" t="s">
        <v>69</v>
      </c>
      <c r="K141" s="4" t="s">
        <v>491</v>
      </c>
      <c r="L141" s="4" t="s">
        <v>492</v>
      </c>
      <c r="M141" s="4" t="str">
        <f>""</f>
        <v/>
      </c>
      <c r="N141" s="15">
        <v>44470</v>
      </c>
      <c r="O141" s="42">
        <v>3.6</v>
      </c>
      <c r="P141" s="5" t="s">
        <v>19</v>
      </c>
      <c r="Q141" s="10" t="s">
        <v>19</v>
      </c>
      <c r="R141" s="5" t="s">
        <v>20</v>
      </c>
      <c r="S141" s="5" t="str">
        <f>""</f>
        <v/>
      </c>
      <c r="T141" s="11" t="s">
        <v>20</v>
      </c>
    </row>
    <row r="142" spans="1:20" thickTop="1" thickBot="1" x14ac:dyDescent="0.35">
      <c r="A142" s="3" t="s">
        <v>493</v>
      </c>
      <c r="B142" s="4" t="s">
        <v>80</v>
      </c>
      <c r="C142" s="4">
        <v>-377</v>
      </c>
      <c r="D142" s="5" t="s">
        <v>30</v>
      </c>
      <c r="E142" s="5" t="s">
        <v>75</v>
      </c>
      <c r="F142" s="6">
        <f>523-70</f>
        <v>453</v>
      </c>
      <c r="G142" s="7">
        <v>822</v>
      </c>
      <c r="H142" s="8" t="s">
        <v>15</v>
      </c>
      <c r="I142" s="2">
        <v>653</v>
      </c>
      <c r="J142" s="9" t="s">
        <v>32</v>
      </c>
      <c r="K142" s="4" t="s">
        <v>494</v>
      </c>
      <c r="L142" s="4" t="s">
        <v>495</v>
      </c>
      <c r="M142" s="2" t="s">
        <v>495</v>
      </c>
      <c r="N142" s="5" t="str">
        <f>""</f>
        <v/>
      </c>
      <c r="O142" s="41"/>
      <c r="P142" s="5" t="s">
        <v>19</v>
      </c>
      <c r="Q142" s="10" t="s">
        <v>19</v>
      </c>
      <c r="R142" s="5" t="s">
        <v>20</v>
      </c>
      <c r="S142" s="2" t="str">
        <f>""</f>
        <v/>
      </c>
      <c r="T142" s="11" t="s">
        <v>20</v>
      </c>
    </row>
    <row r="143" spans="1:20" thickTop="1" thickBot="1" x14ac:dyDescent="0.35">
      <c r="A143" s="3" t="s">
        <v>496</v>
      </c>
      <c r="B143" s="4" t="s">
        <v>497</v>
      </c>
      <c r="C143" s="4">
        <v>1935</v>
      </c>
      <c r="D143" s="5" t="s">
        <v>38</v>
      </c>
      <c r="E143" s="5" t="s">
        <v>39</v>
      </c>
      <c r="F143" s="6">
        <f>184-114</f>
        <v>70</v>
      </c>
      <c r="G143" s="7">
        <v>87</v>
      </c>
      <c r="H143" s="8" t="s">
        <v>131</v>
      </c>
      <c r="I143" s="2">
        <v>18</v>
      </c>
      <c r="J143" s="9" t="s">
        <v>38</v>
      </c>
      <c r="K143" s="4" t="s">
        <v>498</v>
      </c>
      <c r="L143" s="4" t="str">
        <f>""</f>
        <v/>
      </c>
      <c r="M143" s="2" t="str">
        <f>""</f>
        <v/>
      </c>
      <c r="N143" s="10">
        <v>44661</v>
      </c>
      <c r="O143" s="41">
        <v>0</v>
      </c>
      <c r="P143" s="5" t="s">
        <v>20</v>
      </c>
      <c r="Q143" s="10" t="s">
        <v>19</v>
      </c>
      <c r="R143" s="5" t="s">
        <v>20</v>
      </c>
      <c r="S143" s="2" t="str">
        <f>""</f>
        <v/>
      </c>
      <c r="T143" s="11" t="s">
        <v>20</v>
      </c>
    </row>
    <row r="144" spans="1:20" thickTop="1" thickBot="1" x14ac:dyDescent="0.35">
      <c r="A144" s="3" t="s">
        <v>499</v>
      </c>
      <c r="B144" s="4" t="s">
        <v>500</v>
      </c>
      <c r="C144" s="4">
        <v>2010</v>
      </c>
      <c r="D144" s="5" t="s">
        <v>108</v>
      </c>
      <c r="E144" s="5" t="s">
        <v>39</v>
      </c>
      <c r="F144" s="6">
        <f>384-8</f>
        <v>376</v>
      </c>
      <c r="G144" s="7">
        <v>452</v>
      </c>
      <c r="H144" s="8" t="s">
        <v>57</v>
      </c>
      <c r="I144" s="2">
        <v>31778</v>
      </c>
      <c r="J144" s="9" t="s">
        <v>501</v>
      </c>
      <c r="K144" s="4" t="s">
        <v>502</v>
      </c>
      <c r="L144" s="4" t="str">
        <f>""</f>
        <v/>
      </c>
      <c r="M144" s="4" t="str">
        <f>""</f>
        <v/>
      </c>
      <c r="N144" s="15">
        <v>44713</v>
      </c>
      <c r="O144" s="42">
        <v>10.7</v>
      </c>
      <c r="P144" s="5" t="s">
        <v>19</v>
      </c>
      <c r="Q144" s="10" t="s">
        <v>19</v>
      </c>
      <c r="R144" s="5" t="s">
        <v>19</v>
      </c>
      <c r="S144" s="5" t="s">
        <v>19</v>
      </c>
      <c r="T144" s="11" t="s">
        <v>20</v>
      </c>
    </row>
    <row r="145" spans="1:20" thickTop="1" thickBot="1" x14ac:dyDescent="0.35">
      <c r="A145" s="3" t="s">
        <v>503</v>
      </c>
      <c r="B145" s="4" t="s">
        <v>450</v>
      </c>
      <c r="C145" s="4">
        <v>1997</v>
      </c>
      <c r="D145" s="5" t="s">
        <v>161</v>
      </c>
      <c r="E145" s="5" t="s">
        <v>68</v>
      </c>
      <c r="F145" s="6">
        <f>250-10</f>
        <v>240</v>
      </c>
      <c r="G145" s="7">
        <v>260</v>
      </c>
      <c r="H145" s="8" t="s">
        <v>277</v>
      </c>
      <c r="I145" s="2">
        <v>5408</v>
      </c>
      <c r="J145" s="9" t="str">
        <f>""</f>
        <v/>
      </c>
      <c r="K145" s="4" t="s">
        <v>504</v>
      </c>
      <c r="L145" s="4" t="str">
        <f>""</f>
        <v/>
      </c>
      <c r="M145" s="2" t="s">
        <v>462</v>
      </c>
      <c r="N145" s="15">
        <v>43954</v>
      </c>
      <c r="O145" s="42">
        <v>7.6</v>
      </c>
      <c r="P145" s="5" t="s">
        <v>19</v>
      </c>
      <c r="Q145" s="10" t="s">
        <v>19</v>
      </c>
      <c r="R145" s="5" t="s">
        <v>19</v>
      </c>
      <c r="S145" s="5" t="s">
        <v>19</v>
      </c>
      <c r="T145" s="11" t="s">
        <v>20</v>
      </c>
    </row>
    <row r="146" spans="1:20" thickTop="1" thickBot="1" x14ac:dyDescent="0.35">
      <c r="A146" s="3" t="s">
        <v>505</v>
      </c>
      <c r="B146" s="4" t="s">
        <v>506</v>
      </c>
      <c r="C146" s="4">
        <v>2022</v>
      </c>
      <c r="D146" s="5" t="s">
        <v>85</v>
      </c>
      <c r="E146" s="5" t="s">
        <v>39</v>
      </c>
      <c r="F146" s="6">
        <f>395-6</f>
        <v>389</v>
      </c>
      <c r="G146" s="7">
        <v>422</v>
      </c>
      <c r="H146" s="8" t="s">
        <v>32</v>
      </c>
      <c r="I146" s="2" t="str">
        <f>""</f>
        <v/>
      </c>
      <c r="J146" s="9" t="s">
        <v>507</v>
      </c>
      <c r="K146" s="4" t="s">
        <v>508</v>
      </c>
      <c r="L146" s="4" t="str">
        <f>""</f>
        <v/>
      </c>
      <c r="M146" s="2" t="str">
        <f>""</f>
        <v/>
      </c>
      <c r="N146" s="10">
        <v>2022</v>
      </c>
      <c r="O146" s="41">
        <v>39</v>
      </c>
      <c r="P146" s="5" t="s">
        <v>19</v>
      </c>
      <c r="Q146" s="10" t="s">
        <v>19</v>
      </c>
      <c r="R146" s="5" t="s">
        <v>19</v>
      </c>
      <c r="S146" s="2" t="s">
        <v>19</v>
      </c>
      <c r="T146" s="11" t="s">
        <v>20</v>
      </c>
    </row>
    <row r="147" spans="1:20" thickTop="1" thickBot="1" x14ac:dyDescent="0.35">
      <c r="A147" s="3" t="s">
        <v>509</v>
      </c>
      <c r="B147" s="4" t="s">
        <v>322</v>
      </c>
      <c r="C147" s="4">
        <v>1694</v>
      </c>
      <c r="D147" s="5" t="s">
        <v>161</v>
      </c>
      <c r="E147" s="5" t="s">
        <v>39</v>
      </c>
      <c r="F147" s="6">
        <f>60-44</f>
        <v>16</v>
      </c>
      <c r="G147" s="7">
        <f>548/2</f>
        <v>274</v>
      </c>
      <c r="H147" s="8" t="s">
        <v>57</v>
      </c>
      <c r="I147" s="2">
        <v>1198</v>
      </c>
      <c r="J147" s="9" t="s">
        <v>69</v>
      </c>
      <c r="K147" s="4" t="s">
        <v>323</v>
      </c>
      <c r="L147" s="4" t="s">
        <v>324</v>
      </c>
      <c r="M147" s="4" t="str">
        <f>""</f>
        <v/>
      </c>
      <c r="N147" s="15">
        <v>43983</v>
      </c>
      <c r="O147" s="42">
        <v>0</v>
      </c>
      <c r="P147" s="5" t="s">
        <v>20</v>
      </c>
      <c r="Q147" s="10" t="s">
        <v>19</v>
      </c>
      <c r="R147" s="5" t="s">
        <v>19</v>
      </c>
      <c r="S147" s="2" t="s">
        <v>19</v>
      </c>
      <c r="T147" s="11" t="s">
        <v>20</v>
      </c>
    </row>
    <row r="148" spans="1:20" thickTop="1" thickBot="1" x14ac:dyDescent="0.35">
      <c r="A148" s="3" t="s">
        <v>510</v>
      </c>
      <c r="B148" s="4" t="s">
        <v>22</v>
      </c>
      <c r="C148" s="4">
        <v>58</v>
      </c>
      <c r="D148" s="5" t="s">
        <v>30</v>
      </c>
      <c r="E148" s="5" t="s">
        <v>24</v>
      </c>
      <c r="F148" s="6">
        <f>97-42</f>
        <v>55</v>
      </c>
      <c r="G148" s="7">
        <f>164/2</f>
        <v>82</v>
      </c>
      <c r="H148" s="8" t="s">
        <v>15</v>
      </c>
      <c r="I148" s="2">
        <v>1244</v>
      </c>
      <c r="J148" s="9" t="s">
        <v>32</v>
      </c>
      <c r="K148" s="4" t="s">
        <v>421</v>
      </c>
      <c r="L148" s="4" t="s">
        <v>383</v>
      </c>
      <c r="M148" s="2" t="s">
        <v>383</v>
      </c>
      <c r="N148" s="5" t="str">
        <f>""</f>
        <v/>
      </c>
      <c r="O148" s="41"/>
      <c r="P148" s="5" t="s">
        <v>20</v>
      </c>
      <c r="Q148" s="10" t="s">
        <v>19</v>
      </c>
      <c r="R148" s="5" t="s">
        <v>19</v>
      </c>
      <c r="S148" s="2" t="s">
        <v>20</v>
      </c>
      <c r="T148" s="11" t="s">
        <v>19</v>
      </c>
    </row>
    <row r="149" spans="1:20" thickTop="1" thickBot="1" x14ac:dyDescent="0.35">
      <c r="A149" s="3" t="s">
        <v>511</v>
      </c>
      <c r="B149" s="4" t="s">
        <v>497</v>
      </c>
      <c r="C149" s="4">
        <v>1932</v>
      </c>
      <c r="D149" s="5" t="s">
        <v>38</v>
      </c>
      <c r="E149" s="5" t="s">
        <v>39</v>
      </c>
      <c r="F149" s="6">
        <f>113-18</f>
        <v>95</v>
      </c>
      <c r="G149" s="7">
        <v>87</v>
      </c>
      <c r="H149" s="8" t="s">
        <v>131</v>
      </c>
      <c r="I149" s="2">
        <v>18</v>
      </c>
      <c r="J149" s="9" t="s">
        <v>38</v>
      </c>
      <c r="K149" s="4" t="s">
        <v>498</v>
      </c>
      <c r="L149" s="4" t="str">
        <f>""</f>
        <v/>
      </c>
      <c r="M149" s="2" t="str">
        <f>""</f>
        <v/>
      </c>
      <c r="N149" s="10">
        <v>44661</v>
      </c>
      <c r="O149" s="41" t="s">
        <v>1029</v>
      </c>
      <c r="P149" s="5" t="s">
        <v>19</v>
      </c>
      <c r="Q149" s="10" t="s">
        <v>19</v>
      </c>
      <c r="R149" s="5" t="s">
        <v>20</v>
      </c>
      <c r="S149" s="5" t="str">
        <f>""</f>
        <v/>
      </c>
      <c r="T149" s="11" t="s">
        <v>20</v>
      </c>
    </row>
    <row r="150" spans="1:20" thickTop="1" thickBot="1" x14ac:dyDescent="0.35">
      <c r="A150" s="3" t="s">
        <v>1236</v>
      </c>
      <c r="B150" s="4" t="s">
        <v>1237</v>
      </c>
      <c r="C150" s="4">
        <v>2007</v>
      </c>
      <c r="D150" s="5" t="s">
        <v>1097</v>
      </c>
      <c r="E150" s="5" t="s">
        <v>39</v>
      </c>
      <c r="F150" s="6">
        <v>25</v>
      </c>
      <c r="G150" s="7">
        <v>36</v>
      </c>
      <c r="H150" s="8" t="s">
        <v>1192</v>
      </c>
      <c r="K150" s="4" t="s">
        <v>1238</v>
      </c>
      <c r="N150" s="2"/>
      <c r="O150" s="42">
        <v>1.81</v>
      </c>
      <c r="P150" s="5" t="s">
        <v>19</v>
      </c>
      <c r="Q150" s="5" t="s">
        <v>19</v>
      </c>
      <c r="R150" s="5" t="s">
        <v>19</v>
      </c>
      <c r="S150" s="43" t="s">
        <v>20</v>
      </c>
      <c r="T150" s="11" t="s">
        <v>20</v>
      </c>
    </row>
    <row r="151" spans="1:20" thickTop="1" thickBot="1" x14ac:dyDescent="0.35">
      <c r="A151" s="3" t="s">
        <v>512</v>
      </c>
      <c r="B151" s="4" t="s">
        <v>148</v>
      </c>
      <c r="C151" s="4">
        <v>1829</v>
      </c>
      <c r="D151" s="5" t="s">
        <v>13</v>
      </c>
      <c r="E151" s="5" t="s">
        <v>39</v>
      </c>
      <c r="F151" s="6">
        <f>243-188</f>
        <v>55</v>
      </c>
      <c r="G151" s="7">
        <f>290/2</f>
        <v>145</v>
      </c>
      <c r="H151" s="8" t="s">
        <v>57</v>
      </c>
      <c r="I151" s="2">
        <v>6646</v>
      </c>
      <c r="J151" s="9" t="s">
        <v>69</v>
      </c>
      <c r="K151" s="4" t="s">
        <v>513</v>
      </c>
      <c r="L151" s="4" t="s">
        <v>514</v>
      </c>
      <c r="M151" s="2" t="str">
        <f>""</f>
        <v/>
      </c>
      <c r="N151" s="10">
        <v>44013</v>
      </c>
      <c r="O151" s="41">
        <v>0</v>
      </c>
      <c r="P151" s="5" t="s">
        <v>20</v>
      </c>
      <c r="Q151" s="10" t="s">
        <v>19</v>
      </c>
      <c r="R151" s="5" t="s">
        <v>19</v>
      </c>
      <c r="S151" s="5" t="s">
        <v>20</v>
      </c>
      <c r="T151" s="11" t="s">
        <v>20</v>
      </c>
    </row>
    <row r="152" spans="1:20" thickTop="1" thickBot="1" x14ac:dyDescent="0.35">
      <c r="A152" s="3" t="s">
        <v>515</v>
      </c>
      <c r="B152" s="4" t="s">
        <v>516</v>
      </c>
      <c r="C152" s="4">
        <v>1165</v>
      </c>
      <c r="D152" s="5" t="s">
        <v>38</v>
      </c>
      <c r="E152" s="5" t="s">
        <v>39</v>
      </c>
      <c r="F152" s="6">
        <f>399-30</f>
        <v>369</v>
      </c>
      <c r="G152" s="7">
        <v>500</v>
      </c>
      <c r="H152" s="8" t="s">
        <v>15</v>
      </c>
      <c r="I152" s="2">
        <v>3395</v>
      </c>
      <c r="J152" s="9" t="s">
        <v>25</v>
      </c>
      <c r="K152" s="4" t="s">
        <v>517</v>
      </c>
      <c r="L152" s="4" t="s">
        <v>518</v>
      </c>
      <c r="M152" s="2" t="s">
        <v>518</v>
      </c>
      <c r="N152" s="10">
        <v>44803</v>
      </c>
      <c r="O152" s="41" t="s">
        <v>991</v>
      </c>
      <c r="P152" s="5" t="s">
        <v>19</v>
      </c>
      <c r="Q152" s="10" t="s">
        <v>19</v>
      </c>
      <c r="R152" s="5" t="s">
        <v>20</v>
      </c>
      <c r="S152" s="5" t="str">
        <f>""</f>
        <v/>
      </c>
      <c r="T152" s="11" t="s">
        <v>20</v>
      </c>
    </row>
    <row r="153" spans="1:20" thickTop="1" thickBot="1" x14ac:dyDescent="0.35">
      <c r="A153" s="3" t="s">
        <v>519</v>
      </c>
      <c r="B153" s="4" t="s">
        <v>29</v>
      </c>
      <c r="C153" s="4">
        <v>1888</v>
      </c>
      <c r="D153" s="5" t="s">
        <v>30</v>
      </c>
      <c r="E153" s="5" t="s">
        <v>31</v>
      </c>
      <c r="F153" s="6">
        <f>150-44</f>
        <v>106</v>
      </c>
      <c r="G153" s="7">
        <v>280</v>
      </c>
      <c r="H153" s="8" t="s">
        <v>15</v>
      </c>
      <c r="I153" s="2">
        <v>753</v>
      </c>
      <c r="J153" s="9" t="s">
        <v>32</v>
      </c>
      <c r="K153" s="4" t="s">
        <v>520</v>
      </c>
      <c r="L153" s="2" t="s">
        <v>348</v>
      </c>
      <c r="M153" s="2" t="s">
        <v>348</v>
      </c>
      <c r="N153" s="5" t="str">
        <f>""</f>
        <v/>
      </c>
      <c r="O153" s="41">
        <v>8</v>
      </c>
      <c r="P153" s="5" t="s">
        <v>19</v>
      </c>
      <c r="Q153" s="10" t="s">
        <v>19</v>
      </c>
      <c r="R153" s="5" t="s">
        <v>20</v>
      </c>
      <c r="S153" s="5" t="str">
        <f>""</f>
        <v/>
      </c>
      <c r="T153" s="11" t="s">
        <v>20</v>
      </c>
    </row>
    <row r="154" spans="1:20" thickTop="1" thickBot="1" x14ac:dyDescent="0.35">
      <c r="A154" s="3" t="s">
        <v>521</v>
      </c>
      <c r="B154" s="4" t="s">
        <v>185</v>
      </c>
      <c r="C154" s="4">
        <v>1903</v>
      </c>
      <c r="D154" s="5" t="s">
        <v>13</v>
      </c>
      <c r="E154" s="5" t="s">
        <v>46</v>
      </c>
      <c r="F154" s="6">
        <f>160-26</f>
        <v>134</v>
      </c>
      <c r="G154" s="7">
        <v>214</v>
      </c>
      <c r="H154" s="8" t="s">
        <v>15</v>
      </c>
      <c r="I154" s="2">
        <v>6697</v>
      </c>
      <c r="J154" s="9" t="s">
        <v>25</v>
      </c>
      <c r="K154" s="4" t="s">
        <v>522</v>
      </c>
      <c r="L154" s="2" t="s">
        <v>447</v>
      </c>
      <c r="M154" s="2" t="s">
        <v>523</v>
      </c>
      <c r="N154" s="10">
        <v>44299</v>
      </c>
      <c r="O154" s="41" t="s">
        <v>1025</v>
      </c>
      <c r="P154" s="5" t="s">
        <v>19</v>
      </c>
      <c r="Q154" s="10" t="s">
        <v>19</v>
      </c>
      <c r="R154" s="5" t="s">
        <v>19</v>
      </c>
      <c r="S154" s="2" t="s">
        <v>20</v>
      </c>
      <c r="T154" s="11" t="s">
        <v>20</v>
      </c>
    </row>
    <row r="155" spans="1:20" thickTop="1" thickBot="1" x14ac:dyDescent="0.35">
      <c r="A155" s="3" t="s">
        <v>524</v>
      </c>
      <c r="B155" s="4" t="s">
        <v>525</v>
      </c>
      <c r="C155" s="4">
        <v>1998</v>
      </c>
      <c r="D155" s="5" t="s">
        <v>108</v>
      </c>
      <c r="E155" s="5" t="s">
        <v>39</v>
      </c>
      <c r="F155" s="6">
        <f>208-6</f>
        <v>202</v>
      </c>
      <c r="G155" s="7">
        <v>228</v>
      </c>
      <c r="H155" s="8" t="s">
        <v>57</v>
      </c>
      <c r="I155" s="2">
        <v>544</v>
      </c>
      <c r="J155" s="9" t="s">
        <v>501</v>
      </c>
      <c r="K155" s="4" t="s">
        <v>526</v>
      </c>
      <c r="L155" s="4" t="str">
        <f>""</f>
        <v/>
      </c>
      <c r="M155" s="4" t="str">
        <f>""</f>
        <v/>
      </c>
      <c r="N155" s="10">
        <v>44470</v>
      </c>
      <c r="O155" s="41">
        <v>8.1999999999999993</v>
      </c>
      <c r="P155" s="5" t="s">
        <v>19</v>
      </c>
      <c r="Q155" s="10" t="s">
        <v>19</v>
      </c>
      <c r="R155" s="5" t="s">
        <v>19</v>
      </c>
      <c r="S155" s="5" t="s">
        <v>20</v>
      </c>
      <c r="T155" s="11" t="s">
        <v>19</v>
      </c>
    </row>
    <row r="156" spans="1:20" thickTop="1" thickBot="1" x14ac:dyDescent="0.35">
      <c r="A156" s="3" t="s">
        <v>527</v>
      </c>
      <c r="B156" s="4" t="s">
        <v>528</v>
      </c>
      <c r="C156" s="4">
        <v>1</v>
      </c>
      <c r="D156" s="5" t="s">
        <v>38</v>
      </c>
      <c r="E156" s="5" t="s">
        <v>24</v>
      </c>
      <c r="F156" s="6">
        <f>138-16</f>
        <v>122</v>
      </c>
      <c r="G156" s="7">
        <v>228</v>
      </c>
      <c r="H156" s="8" t="s">
        <v>15</v>
      </c>
      <c r="I156" s="2">
        <v>532</v>
      </c>
      <c r="J156" s="9" t="s">
        <v>25</v>
      </c>
      <c r="K156" s="4" t="s">
        <v>529</v>
      </c>
      <c r="L156" s="4" t="s">
        <v>530</v>
      </c>
      <c r="M156" s="2" t="s">
        <v>531</v>
      </c>
      <c r="N156" s="10">
        <v>44305</v>
      </c>
      <c r="O156" s="41" t="s">
        <v>988</v>
      </c>
      <c r="P156" s="5" t="s">
        <v>19</v>
      </c>
      <c r="Q156" s="10" t="s">
        <v>19</v>
      </c>
      <c r="R156" s="5" t="s">
        <v>19</v>
      </c>
      <c r="S156" s="5" t="s">
        <v>19</v>
      </c>
      <c r="T156" s="11" t="s">
        <v>20</v>
      </c>
    </row>
    <row r="157" spans="1:20" thickTop="1" thickBot="1" x14ac:dyDescent="0.35">
      <c r="A157" s="3" t="s">
        <v>532</v>
      </c>
      <c r="B157" s="4" t="s">
        <v>533</v>
      </c>
      <c r="C157" s="4">
        <v>-512</v>
      </c>
      <c r="D157" s="5" t="s">
        <v>30</v>
      </c>
      <c r="E157" s="5" t="s">
        <v>534</v>
      </c>
      <c r="F157" s="6">
        <f>91-50</f>
        <v>41</v>
      </c>
      <c r="G157" s="7">
        <v>356</v>
      </c>
      <c r="H157" s="8" t="s">
        <v>535</v>
      </c>
      <c r="I157" s="2" t="str">
        <f>""</f>
        <v/>
      </c>
      <c r="J157" s="9" t="str">
        <f>""</f>
        <v/>
      </c>
      <c r="K157" s="4" t="s">
        <v>536</v>
      </c>
      <c r="L157" s="4" t="s">
        <v>537</v>
      </c>
      <c r="M157" s="4" t="s">
        <v>537</v>
      </c>
      <c r="N157" s="5" t="str">
        <f>""</f>
        <v/>
      </c>
      <c r="O157" s="41">
        <v>6.8</v>
      </c>
      <c r="P157" s="5" t="s">
        <v>19</v>
      </c>
      <c r="Q157" s="10" t="s">
        <v>19</v>
      </c>
      <c r="R157" s="5" t="s">
        <v>19</v>
      </c>
      <c r="S157" s="5" t="s">
        <v>20</v>
      </c>
      <c r="T157" s="11" t="s">
        <v>20</v>
      </c>
    </row>
    <row r="158" spans="1:20" thickTop="1" thickBot="1" x14ac:dyDescent="0.35">
      <c r="A158" s="3" t="s">
        <v>538</v>
      </c>
      <c r="B158" s="4" t="s">
        <v>305</v>
      </c>
      <c r="C158" s="4">
        <v>1674</v>
      </c>
      <c r="D158" s="5" t="s">
        <v>38</v>
      </c>
      <c r="E158" s="5" t="s">
        <v>39</v>
      </c>
      <c r="F158" s="6">
        <f>258-224</f>
        <v>34</v>
      </c>
      <c r="G158" s="7">
        <v>119</v>
      </c>
      <c r="H158" s="8" t="s">
        <v>131</v>
      </c>
      <c r="I158" s="2">
        <v>195</v>
      </c>
      <c r="J158" s="2" t="s">
        <v>38</v>
      </c>
      <c r="K158" s="4" t="s">
        <v>306</v>
      </c>
      <c r="L158" s="4" t="s">
        <v>307</v>
      </c>
      <c r="M158" s="4" t="str">
        <f>""</f>
        <v/>
      </c>
      <c r="N158" s="10">
        <v>44237</v>
      </c>
      <c r="O158" s="41" t="s">
        <v>1001</v>
      </c>
      <c r="P158" s="5" t="s">
        <v>19</v>
      </c>
      <c r="Q158" s="10" t="s">
        <v>19</v>
      </c>
      <c r="R158" s="5" t="s">
        <v>20</v>
      </c>
      <c r="S158" s="5" t="str">
        <f>""</f>
        <v/>
      </c>
      <c r="T158" s="11" t="s">
        <v>20</v>
      </c>
    </row>
    <row r="159" spans="1:20" thickTop="1" thickBot="1" x14ac:dyDescent="0.35">
      <c r="A159" s="3" t="s">
        <v>539</v>
      </c>
      <c r="B159" s="4" t="s">
        <v>540</v>
      </c>
      <c r="C159" s="4">
        <v>-392</v>
      </c>
      <c r="D159" s="5" t="s">
        <v>23</v>
      </c>
      <c r="E159" s="5" t="s">
        <v>75</v>
      </c>
      <c r="F159" s="6">
        <f>255-158</f>
        <v>97</v>
      </c>
      <c r="G159" s="7">
        <f>342/2</f>
        <v>171</v>
      </c>
      <c r="H159" s="8" t="s">
        <v>15</v>
      </c>
      <c r="I159" s="2">
        <v>1610</v>
      </c>
      <c r="J159" s="2" t="s">
        <v>32</v>
      </c>
      <c r="K159" s="4" t="s">
        <v>541</v>
      </c>
      <c r="L159" s="4" t="s">
        <v>542</v>
      </c>
      <c r="M159" s="4" t="s">
        <v>543</v>
      </c>
      <c r="N159" s="5" t="str">
        <f>""</f>
        <v/>
      </c>
      <c r="O159" s="41">
        <v>0</v>
      </c>
      <c r="P159" s="5" t="s">
        <v>20</v>
      </c>
      <c r="Q159" s="10" t="s">
        <v>19</v>
      </c>
      <c r="R159" s="5" t="s">
        <v>19</v>
      </c>
      <c r="S159" s="5" t="s">
        <v>20</v>
      </c>
      <c r="T159" s="11" t="s">
        <v>20</v>
      </c>
    </row>
    <row r="160" spans="1:20" thickTop="1" thickBot="1" x14ac:dyDescent="0.35">
      <c r="A160" s="3" t="s">
        <v>544</v>
      </c>
      <c r="B160" s="4" t="s">
        <v>95</v>
      </c>
      <c r="C160" s="4">
        <v>1877</v>
      </c>
      <c r="D160" s="5" t="s">
        <v>13</v>
      </c>
      <c r="E160" s="5" t="s">
        <v>39</v>
      </c>
      <c r="F160" s="6">
        <f>504-44</f>
        <v>460</v>
      </c>
      <c r="G160" s="7">
        <v>580</v>
      </c>
      <c r="H160" s="8" t="s">
        <v>57</v>
      </c>
      <c r="I160" s="2">
        <v>97</v>
      </c>
      <c r="J160" s="2" t="s">
        <v>69</v>
      </c>
      <c r="K160" s="4" t="s">
        <v>545</v>
      </c>
      <c r="L160" s="2" t="s">
        <v>546</v>
      </c>
      <c r="M160" s="4" t="str">
        <f>""</f>
        <v/>
      </c>
      <c r="N160" s="17">
        <v>44317</v>
      </c>
      <c r="O160" s="42">
        <v>4</v>
      </c>
      <c r="P160" s="5" t="s">
        <v>19</v>
      </c>
      <c r="Q160" s="10" t="s">
        <v>19</v>
      </c>
      <c r="R160" s="5" t="s">
        <v>20</v>
      </c>
      <c r="S160" s="2" t="str">
        <f>""</f>
        <v/>
      </c>
      <c r="T160" s="11" t="s">
        <v>20</v>
      </c>
    </row>
    <row r="161" spans="1:20" thickTop="1" thickBot="1" x14ac:dyDescent="0.35">
      <c r="A161" s="3" t="s">
        <v>547</v>
      </c>
      <c r="B161" s="4" t="s">
        <v>247</v>
      </c>
      <c r="C161" s="4">
        <v>1668</v>
      </c>
      <c r="D161" s="5" t="s">
        <v>23</v>
      </c>
      <c r="E161" s="5" t="s">
        <v>39</v>
      </c>
      <c r="F161" s="6">
        <f>213-20</f>
        <v>193</v>
      </c>
      <c r="G161" s="7">
        <v>244</v>
      </c>
      <c r="H161" s="8" t="s">
        <v>15</v>
      </c>
      <c r="I161" s="2">
        <v>3234</v>
      </c>
      <c r="J161" s="9" t="s">
        <v>25</v>
      </c>
      <c r="K161" s="4" t="s">
        <v>548</v>
      </c>
      <c r="L161" s="4" t="s">
        <v>249</v>
      </c>
      <c r="M161" s="2" t="str">
        <f>""</f>
        <v/>
      </c>
      <c r="N161" s="10">
        <v>44785</v>
      </c>
      <c r="O161" s="41"/>
      <c r="P161" s="5" t="s">
        <v>19</v>
      </c>
      <c r="Q161" s="10" t="s">
        <v>19</v>
      </c>
      <c r="R161" s="5" t="s">
        <v>20</v>
      </c>
      <c r="S161" s="5" t="str">
        <f>""</f>
        <v/>
      </c>
      <c r="T161" s="11" t="s">
        <v>20</v>
      </c>
    </row>
    <row r="162" spans="1:20" thickTop="1" thickBot="1" x14ac:dyDescent="0.35">
      <c r="A162" s="3" t="s">
        <v>549</v>
      </c>
      <c r="B162" s="4" t="s">
        <v>80</v>
      </c>
      <c r="C162" s="4">
        <v>-380</v>
      </c>
      <c r="D162" s="5" t="s">
        <v>30</v>
      </c>
      <c r="E162" s="5" t="s">
        <v>75</v>
      </c>
      <c r="F162" s="6">
        <f>179-82</f>
        <v>97</v>
      </c>
      <c r="G162" s="7">
        <v>292</v>
      </c>
      <c r="H162" s="8" t="s">
        <v>15</v>
      </c>
      <c r="I162" s="2">
        <v>1327</v>
      </c>
      <c r="J162" s="9" t="s">
        <v>32</v>
      </c>
      <c r="K162" s="4" t="s">
        <v>550</v>
      </c>
      <c r="L162" s="4" t="s">
        <v>82</v>
      </c>
      <c r="M162" s="4" t="s">
        <v>82</v>
      </c>
      <c r="N162" s="5" t="str">
        <f>""</f>
        <v/>
      </c>
      <c r="O162" s="41"/>
      <c r="P162" s="5" t="s">
        <v>19</v>
      </c>
      <c r="Q162" s="10" t="s">
        <v>19</v>
      </c>
      <c r="R162" s="5" t="s">
        <v>19</v>
      </c>
      <c r="S162" s="2" t="s">
        <v>19</v>
      </c>
      <c r="T162" s="11" t="s">
        <v>20</v>
      </c>
    </row>
    <row r="163" spans="1:20" thickTop="1" thickBot="1" x14ac:dyDescent="0.35">
      <c r="A163" s="3" t="s">
        <v>551</v>
      </c>
      <c r="B163" s="4" t="s">
        <v>552</v>
      </c>
      <c r="C163" s="4">
        <v>1775</v>
      </c>
      <c r="D163" s="5" t="s">
        <v>23</v>
      </c>
      <c r="E163" s="5" t="s">
        <v>39</v>
      </c>
      <c r="F163" s="6">
        <f>142-40</f>
        <v>102</v>
      </c>
      <c r="G163" s="7">
        <v>198</v>
      </c>
      <c r="H163" s="8" t="s">
        <v>15</v>
      </c>
      <c r="I163" s="2">
        <v>1481</v>
      </c>
      <c r="J163" s="9" t="s">
        <v>32</v>
      </c>
      <c r="K163" s="4" t="s">
        <v>553</v>
      </c>
      <c r="L163" s="4" t="s">
        <v>554</v>
      </c>
      <c r="M163" s="2" t="str">
        <f>""</f>
        <v/>
      </c>
      <c r="N163" s="2" t="str">
        <f>""</f>
        <v/>
      </c>
      <c r="O163" s="42">
        <v>2.8</v>
      </c>
      <c r="P163" s="5" t="s">
        <v>19</v>
      </c>
      <c r="Q163" s="10" t="s">
        <v>19</v>
      </c>
      <c r="R163" s="5" t="s">
        <v>19</v>
      </c>
      <c r="S163" s="2" t="s">
        <v>20</v>
      </c>
      <c r="T163" s="11" t="s">
        <v>20</v>
      </c>
    </row>
    <row r="164" spans="1:20" thickTop="1" thickBot="1" x14ac:dyDescent="0.35">
      <c r="A164" s="3" t="s">
        <v>555</v>
      </c>
      <c r="B164" s="4" t="s">
        <v>247</v>
      </c>
      <c r="C164" s="4">
        <v>1670</v>
      </c>
      <c r="D164" s="5" t="s">
        <v>23</v>
      </c>
      <c r="E164" s="5" t="s">
        <v>39</v>
      </c>
      <c r="F164" s="6">
        <f>227-18</f>
        <v>209</v>
      </c>
      <c r="G164" s="7">
        <v>260</v>
      </c>
      <c r="H164" s="8" t="s">
        <v>15</v>
      </c>
      <c r="I164" s="2">
        <v>3233</v>
      </c>
      <c r="J164" s="9" t="s">
        <v>25</v>
      </c>
      <c r="K164" s="4" t="s">
        <v>556</v>
      </c>
      <c r="L164" s="4" t="s">
        <v>249</v>
      </c>
      <c r="M164" s="2" t="str">
        <f>""</f>
        <v/>
      </c>
      <c r="N164" s="10">
        <v>44642</v>
      </c>
      <c r="O164" s="41">
        <v>2</v>
      </c>
      <c r="P164" s="5" t="s">
        <v>19</v>
      </c>
      <c r="Q164" s="10" t="s">
        <v>19</v>
      </c>
      <c r="R164" s="5" t="s">
        <v>20</v>
      </c>
      <c r="S164" s="2" t="str">
        <f>""</f>
        <v/>
      </c>
      <c r="T164" s="11" t="s">
        <v>20</v>
      </c>
    </row>
    <row r="165" spans="1:20" thickTop="1" thickBot="1" x14ac:dyDescent="0.35">
      <c r="A165" s="3" t="s">
        <v>557</v>
      </c>
      <c r="B165" s="4" t="s">
        <v>29</v>
      </c>
      <c r="C165" s="4">
        <v>1888</v>
      </c>
      <c r="D165" s="5" t="s">
        <v>30</v>
      </c>
      <c r="E165" s="5" t="s">
        <v>31</v>
      </c>
      <c r="F165" s="6">
        <f>236-180</f>
        <v>56</v>
      </c>
      <c r="G165" s="7">
        <f>258/2</f>
        <v>129</v>
      </c>
      <c r="H165" s="8" t="s">
        <v>15</v>
      </c>
      <c r="I165" s="2">
        <v>421</v>
      </c>
      <c r="J165" s="9" t="s">
        <v>32</v>
      </c>
      <c r="K165" s="4" t="s">
        <v>558</v>
      </c>
      <c r="L165" s="2" t="s">
        <v>559</v>
      </c>
      <c r="M165" s="2" t="s">
        <v>560</v>
      </c>
      <c r="N165" s="5" t="str">
        <f>""</f>
        <v/>
      </c>
      <c r="O165" s="41">
        <v>6</v>
      </c>
      <c r="P165" s="5" t="s">
        <v>19</v>
      </c>
      <c r="Q165" s="10" t="s">
        <v>19</v>
      </c>
      <c r="R165" s="5" t="s">
        <v>20</v>
      </c>
      <c r="S165" s="2" t="str">
        <f>""</f>
        <v/>
      </c>
      <c r="T165" s="11" t="s">
        <v>20</v>
      </c>
    </row>
    <row r="166" spans="1:20" thickTop="1" thickBot="1" x14ac:dyDescent="0.35">
      <c r="A166" s="3" t="s">
        <v>561</v>
      </c>
      <c r="B166" s="4" t="s">
        <v>390</v>
      </c>
      <c r="C166" s="4">
        <v>1637</v>
      </c>
      <c r="D166" s="5" t="s">
        <v>23</v>
      </c>
      <c r="E166" s="5" t="s">
        <v>39</v>
      </c>
      <c r="F166" s="6">
        <f>149-40</f>
        <v>109</v>
      </c>
      <c r="G166" s="7">
        <v>244</v>
      </c>
      <c r="H166" s="8" t="s">
        <v>15</v>
      </c>
      <c r="I166" s="2">
        <v>3220</v>
      </c>
      <c r="J166" s="9" t="s">
        <v>25</v>
      </c>
      <c r="K166" s="4" t="s">
        <v>562</v>
      </c>
      <c r="L166" s="4" t="s">
        <v>563</v>
      </c>
      <c r="M166" s="2" t="str">
        <f>""</f>
        <v/>
      </c>
      <c r="N166" s="10">
        <v>44607</v>
      </c>
      <c r="O166" s="41">
        <v>2.5</v>
      </c>
      <c r="P166" s="5" t="s">
        <v>19</v>
      </c>
      <c r="Q166" s="10" t="s">
        <v>19</v>
      </c>
      <c r="R166" s="5" t="s">
        <v>20</v>
      </c>
      <c r="S166" s="2" t="str">
        <f>""</f>
        <v/>
      </c>
      <c r="T166" s="11" t="s">
        <v>20</v>
      </c>
    </row>
    <row r="167" spans="1:20" thickTop="1" thickBot="1" x14ac:dyDescent="0.35">
      <c r="A167" s="3" t="s">
        <v>564</v>
      </c>
      <c r="B167" s="4" t="s">
        <v>565</v>
      </c>
      <c r="C167" s="4">
        <v>1844</v>
      </c>
      <c r="D167" s="5" t="s">
        <v>13</v>
      </c>
      <c r="E167" s="5" t="s">
        <v>39</v>
      </c>
      <c r="F167" s="6">
        <f>1188-30</f>
        <v>1158</v>
      </c>
      <c r="G167" s="7">
        <v>1268</v>
      </c>
      <c r="H167" s="8" t="s">
        <v>15</v>
      </c>
      <c r="I167" s="2">
        <v>6831</v>
      </c>
      <c r="J167" s="9" t="s">
        <v>25</v>
      </c>
      <c r="K167" s="4" t="s">
        <v>566</v>
      </c>
      <c r="L167" s="4" t="s">
        <v>567</v>
      </c>
      <c r="M167" s="4" t="str">
        <f>""</f>
        <v/>
      </c>
      <c r="N167" s="15">
        <v>44117</v>
      </c>
      <c r="O167" s="42" t="s">
        <v>990</v>
      </c>
      <c r="P167" s="5" t="s">
        <v>19</v>
      </c>
      <c r="Q167" s="10" t="s">
        <v>19</v>
      </c>
      <c r="R167" s="5" t="s">
        <v>19</v>
      </c>
      <c r="S167" s="2" t="s">
        <v>19</v>
      </c>
      <c r="T167" s="11" t="s">
        <v>20</v>
      </c>
    </row>
    <row r="168" spans="1:20" thickTop="1" thickBot="1" x14ac:dyDescent="0.35">
      <c r="A168" s="3" t="s">
        <v>568</v>
      </c>
      <c r="B168" s="4" t="s">
        <v>29</v>
      </c>
      <c r="C168" s="4">
        <v>1888</v>
      </c>
      <c r="D168" s="5" t="s">
        <v>30</v>
      </c>
      <c r="E168" s="5" t="s">
        <v>31</v>
      </c>
      <c r="F168" s="6">
        <f>177-64</f>
        <v>113</v>
      </c>
      <c r="G168" s="7">
        <f>258/2</f>
        <v>129</v>
      </c>
      <c r="H168" s="8" t="s">
        <v>15</v>
      </c>
      <c r="I168" s="2">
        <v>421</v>
      </c>
      <c r="J168" s="9" t="s">
        <v>32</v>
      </c>
      <c r="K168" s="4" t="s">
        <v>558</v>
      </c>
      <c r="L168" s="4" t="s">
        <v>559</v>
      </c>
      <c r="M168" s="4" t="s">
        <v>560</v>
      </c>
      <c r="N168" s="5" t="str">
        <f>""</f>
        <v/>
      </c>
      <c r="O168" s="41">
        <v>0</v>
      </c>
      <c r="P168" s="5" t="s">
        <v>20</v>
      </c>
      <c r="Q168" s="10" t="s">
        <v>19</v>
      </c>
      <c r="R168" s="5" t="s">
        <v>20</v>
      </c>
      <c r="S168" s="5" t="str">
        <f>""</f>
        <v/>
      </c>
      <c r="T168" s="11" t="s">
        <v>20</v>
      </c>
    </row>
    <row r="169" spans="1:20" thickTop="1" thickBot="1" x14ac:dyDescent="0.35">
      <c r="A169" s="3" t="s">
        <v>569</v>
      </c>
      <c r="B169" s="4" t="s">
        <v>311</v>
      </c>
      <c r="C169" s="4">
        <v>1832</v>
      </c>
      <c r="D169" s="5" t="s">
        <v>13</v>
      </c>
      <c r="E169" s="5" t="s">
        <v>39</v>
      </c>
      <c r="F169" s="6">
        <v>87</v>
      </c>
      <c r="G169" s="7">
        <f>356/2</f>
        <v>178</v>
      </c>
      <c r="H169" s="8" t="s">
        <v>15</v>
      </c>
      <c r="I169" s="2">
        <v>717</v>
      </c>
      <c r="J169" s="9" t="s">
        <v>25</v>
      </c>
      <c r="K169" s="4" t="s">
        <v>570</v>
      </c>
      <c r="L169" s="4" t="s">
        <v>571</v>
      </c>
      <c r="M169" s="2" t="str">
        <f>""</f>
        <v/>
      </c>
      <c r="N169" s="15">
        <v>43844</v>
      </c>
      <c r="O169" s="42" t="s">
        <v>986</v>
      </c>
      <c r="P169" s="5" t="s">
        <v>19</v>
      </c>
      <c r="Q169" s="10" t="s">
        <v>19</v>
      </c>
      <c r="R169" s="5" t="s">
        <v>19</v>
      </c>
      <c r="S169" s="2" t="s">
        <v>20</v>
      </c>
      <c r="T169" s="11" t="s">
        <v>20</v>
      </c>
    </row>
    <row r="170" spans="1:20" thickTop="1" thickBot="1" x14ac:dyDescent="0.35">
      <c r="A170" s="3" t="s">
        <v>572</v>
      </c>
      <c r="B170" s="4" t="s">
        <v>148</v>
      </c>
      <c r="C170" s="4">
        <v>1829</v>
      </c>
      <c r="D170" s="5" t="s">
        <v>13</v>
      </c>
      <c r="E170" s="5" t="s">
        <v>39</v>
      </c>
      <c r="F170" s="6">
        <f>150-58</f>
        <v>92</v>
      </c>
      <c r="G170" s="7">
        <f>290/2</f>
        <v>145</v>
      </c>
      <c r="H170" s="8" t="s">
        <v>57</v>
      </c>
      <c r="I170" s="2">
        <v>6646</v>
      </c>
      <c r="J170" s="9" t="s">
        <v>69</v>
      </c>
      <c r="K170" s="4" t="s">
        <v>513</v>
      </c>
      <c r="L170" s="4" t="s">
        <v>514</v>
      </c>
      <c r="M170" s="2" t="str">
        <f>""</f>
        <v/>
      </c>
      <c r="N170" s="10">
        <v>44013</v>
      </c>
      <c r="O170" s="41">
        <v>4.4000000000000004</v>
      </c>
      <c r="P170" s="5" t="s">
        <v>19</v>
      </c>
      <c r="Q170" s="10" t="s">
        <v>19</v>
      </c>
      <c r="R170" s="5" t="s">
        <v>19</v>
      </c>
      <c r="S170" s="5" t="s">
        <v>19</v>
      </c>
      <c r="T170" s="11" t="s">
        <v>20</v>
      </c>
    </row>
    <row r="171" spans="1:20" thickTop="1" thickBot="1" x14ac:dyDescent="0.35">
      <c r="A171" s="3" t="s">
        <v>573</v>
      </c>
      <c r="B171" s="4" t="s">
        <v>574</v>
      </c>
      <c r="C171" s="4">
        <v>2013</v>
      </c>
      <c r="D171" s="5" t="s">
        <v>62</v>
      </c>
      <c r="E171" s="5" t="s">
        <v>39</v>
      </c>
      <c r="F171" s="6">
        <f>2326-2</f>
        <v>2324</v>
      </c>
      <c r="G171" s="7">
        <v>2334</v>
      </c>
      <c r="H171" s="8" t="s">
        <v>575</v>
      </c>
      <c r="I171" s="2" t="str">
        <f>""</f>
        <v/>
      </c>
      <c r="J171" s="9" t="s">
        <v>576</v>
      </c>
      <c r="K171" s="4" t="s">
        <v>577</v>
      </c>
      <c r="L171" s="4" t="str">
        <f>""</f>
        <v/>
      </c>
      <c r="M171" s="2" t="str">
        <f>""</f>
        <v/>
      </c>
      <c r="N171" s="10">
        <v>43586</v>
      </c>
      <c r="O171" s="41"/>
      <c r="P171" s="5" t="s">
        <v>19</v>
      </c>
      <c r="Q171" s="10" t="s">
        <v>19</v>
      </c>
      <c r="R171" s="5" t="s">
        <v>19</v>
      </c>
      <c r="S171" s="2" t="s">
        <v>20</v>
      </c>
      <c r="T171" s="11" t="s">
        <v>20</v>
      </c>
    </row>
    <row r="172" spans="1:20" thickTop="1" thickBot="1" x14ac:dyDescent="0.35">
      <c r="A172" s="3" t="s">
        <v>578</v>
      </c>
      <c r="B172" s="2" t="s">
        <v>285</v>
      </c>
      <c r="C172" s="2">
        <v>1963</v>
      </c>
      <c r="D172" s="5" t="s">
        <v>38</v>
      </c>
      <c r="E172" s="5" t="s">
        <v>39</v>
      </c>
      <c r="F172" s="6">
        <f>538-4</f>
        <v>534</v>
      </c>
      <c r="G172" s="7">
        <v>564</v>
      </c>
      <c r="H172" s="8" t="s">
        <v>15</v>
      </c>
      <c r="I172" s="2">
        <v>376</v>
      </c>
      <c r="J172" s="2" t="s">
        <v>38</v>
      </c>
      <c r="K172" s="4" t="s">
        <v>579</v>
      </c>
      <c r="L172" s="2" t="str">
        <f>""</f>
        <v/>
      </c>
      <c r="M172" s="2" t="str">
        <f>""</f>
        <v/>
      </c>
      <c r="N172" s="10">
        <v>44853</v>
      </c>
      <c r="O172" s="41" t="s">
        <v>1001</v>
      </c>
      <c r="P172" s="5" t="s">
        <v>19</v>
      </c>
      <c r="Q172" s="10" t="s">
        <v>19</v>
      </c>
      <c r="R172" s="5" t="s">
        <v>20</v>
      </c>
      <c r="S172" s="2" t="str">
        <f>""</f>
        <v/>
      </c>
      <c r="T172" s="11" t="s">
        <v>20</v>
      </c>
    </row>
    <row r="173" spans="1:20" thickTop="1" thickBot="1" x14ac:dyDescent="0.35">
      <c r="A173" s="3" t="s">
        <v>580</v>
      </c>
      <c r="B173" s="4" t="s">
        <v>29</v>
      </c>
      <c r="C173" s="4">
        <v>1887</v>
      </c>
      <c r="D173" s="5" t="s">
        <v>30</v>
      </c>
      <c r="E173" s="5" t="s">
        <v>31</v>
      </c>
      <c r="F173" s="6">
        <f>353-20</f>
        <v>333</v>
      </c>
      <c r="G173" s="7">
        <v>536</v>
      </c>
      <c r="H173" s="8" t="s">
        <v>15</v>
      </c>
      <c r="I173" s="2">
        <v>1619</v>
      </c>
      <c r="J173" s="9" t="s">
        <v>32</v>
      </c>
      <c r="K173" s="4" t="s">
        <v>581</v>
      </c>
      <c r="L173" s="4" t="s">
        <v>582</v>
      </c>
      <c r="M173" s="2" t="s">
        <v>582</v>
      </c>
      <c r="N173" s="10">
        <v>43983</v>
      </c>
      <c r="O173" s="41">
        <v>9.9</v>
      </c>
      <c r="P173" s="5" t="s">
        <v>19</v>
      </c>
      <c r="Q173" s="10" t="s">
        <v>19</v>
      </c>
      <c r="R173" s="5" t="s">
        <v>19</v>
      </c>
      <c r="S173" s="2" t="s">
        <v>19</v>
      </c>
      <c r="T173" s="11" t="s">
        <v>20</v>
      </c>
    </row>
    <row r="174" spans="1:20" thickTop="1" thickBot="1" x14ac:dyDescent="0.35">
      <c r="A174" s="3" t="s">
        <v>583</v>
      </c>
      <c r="B174" s="4" t="s">
        <v>103</v>
      </c>
      <c r="C174" s="4">
        <v>1887</v>
      </c>
      <c r="D174" s="5" t="s">
        <v>13</v>
      </c>
      <c r="E174" s="5" t="s">
        <v>39</v>
      </c>
      <c r="F174" s="6">
        <f>245-34</f>
        <v>211</v>
      </c>
      <c r="G174" s="7">
        <v>292</v>
      </c>
      <c r="H174" s="8" t="s">
        <v>15</v>
      </c>
      <c r="I174" s="2">
        <v>3242</v>
      </c>
      <c r="J174" s="9" t="s">
        <v>25</v>
      </c>
      <c r="K174" s="4" t="s">
        <v>584</v>
      </c>
      <c r="L174" s="2" t="s">
        <v>585</v>
      </c>
      <c r="M174" s="4" t="str">
        <f>""</f>
        <v/>
      </c>
      <c r="N174" s="10">
        <v>43900</v>
      </c>
      <c r="O174" s="41">
        <v>2.6</v>
      </c>
      <c r="P174" s="5" t="s">
        <v>19</v>
      </c>
      <c r="Q174" s="10" t="s">
        <v>19</v>
      </c>
      <c r="R174" s="5" t="s">
        <v>19</v>
      </c>
      <c r="S174" s="5" t="s">
        <v>19</v>
      </c>
      <c r="T174" s="11" t="s">
        <v>19</v>
      </c>
    </row>
    <row r="175" spans="1:20" thickTop="1" thickBot="1" x14ac:dyDescent="0.35">
      <c r="A175" s="3" t="s">
        <v>586</v>
      </c>
      <c r="B175" s="4" t="s">
        <v>172</v>
      </c>
      <c r="C175" s="4">
        <v>1866</v>
      </c>
      <c r="D175" s="5" t="s">
        <v>13</v>
      </c>
      <c r="E175" s="5" t="s">
        <v>587</v>
      </c>
      <c r="F175" s="6">
        <f>211-20</f>
        <v>191</v>
      </c>
      <c r="G175" s="7">
        <v>260</v>
      </c>
      <c r="H175" s="8" t="s">
        <v>15</v>
      </c>
      <c r="I175" s="2">
        <v>6587</v>
      </c>
      <c r="J175" s="9" t="s">
        <v>25</v>
      </c>
      <c r="K175" s="4" t="s">
        <v>588</v>
      </c>
      <c r="L175" s="4" t="s">
        <v>589</v>
      </c>
      <c r="M175" s="2" t="s">
        <v>590</v>
      </c>
      <c r="N175" s="10">
        <v>45216</v>
      </c>
      <c r="O175" s="41" t="s">
        <v>991</v>
      </c>
      <c r="P175" s="5" t="s">
        <v>19</v>
      </c>
      <c r="Q175" s="10" t="s">
        <v>19</v>
      </c>
      <c r="R175" s="5" t="s">
        <v>19</v>
      </c>
      <c r="S175" s="2" t="s">
        <v>20</v>
      </c>
      <c r="T175" s="11" t="s">
        <v>19</v>
      </c>
    </row>
    <row r="176" spans="1:20" thickTop="1" thickBot="1" x14ac:dyDescent="0.35">
      <c r="A176" s="3" t="s">
        <v>591</v>
      </c>
      <c r="B176" s="4" t="s">
        <v>592</v>
      </c>
      <c r="C176" s="4">
        <v>1943</v>
      </c>
      <c r="D176" s="5" t="s">
        <v>13</v>
      </c>
      <c r="E176" s="5" t="s">
        <v>31</v>
      </c>
      <c r="F176" s="6">
        <f>111-24</f>
        <v>87</v>
      </c>
      <c r="G176" s="7">
        <v>132</v>
      </c>
      <c r="H176" s="8" t="s">
        <v>57</v>
      </c>
      <c r="I176" s="2">
        <v>7309</v>
      </c>
      <c r="J176" s="2" t="str">
        <f>""</f>
        <v/>
      </c>
      <c r="K176" s="4" t="s">
        <v>593</v>
      </c>
      <c r="L176" s="2" t="s">
        <v>594</v>
      </c>
      <c r="M176" s="2" t="s">
        <v>594</v>
      </c>
      <c r="N176" s="10">
        <v>42745</v>
      </c>
      <c r="O176" s="41"/>
      <c r="P176" s="5" t="s">
        <v>19</v>
      </c>
      <c r="Q176" s="10" t="s">
        <v>19</v>
      </c>
      <c r="R176" s="5" t="s">
        <v>19</v>
      </c>
      <c r="S176" s="5" t="s">
        <v>20</v>
      </c>
      <c r="T176" s="11" t="s">
        <v>20</v>
      </c>
    </row>
    <row r="177" spans="1:20" thickTop="1" thickBot="1" x14ac:dyDescent="0.35">
      <c r="A177" s="3" t="s">
        <v>595</v>
      </c>
      <c r="B177" s="4" t="s">
        <v>596</v>
      </c>
      <c r="C177" s="4">
        <v>1947</v>
      </c>
      <c r="D177" s="5" t="s">
        <v>161</v>
      </c>
      <c r="E177" s="5" t="s">
        <v>31</v>
      </c>
      <c r="F177" s="6">
        <f>332-10</f>
        <v>322</v>
      </c>
      <c r="G177" s="7">
        <v>364</v>
      </c>
      <c r="H177" s="8" t="s">
        <v>57</v>
      </c>
      <c r="I177" s="2">
        <v>33061</v>
      </c>
      <c r="J177" s="9" t="str">
        <f>""</f>
        <v/>
      </c>
      <c r="K177" s="4" t="s">
        <v>597</v>
      </c>
      <c r="L177" s="4" t="s">
        <v>598</v>
      </c>
      <c r="M177" s="2" t="s">
        <v>599</v>
      </c>
      <c r="N177" s="10">
        <v>43009</v>
      </c>
      <c r="O177" s="41">
        <v>7.1</v>
      </c>
      <c r="P177" s="5" t="s">
        <v>19</v>
      </c>
      <c r="Q177" s="10" t="s">
        <v>19</v>
      </c>
      <c r="R177" s="5" t="s">
        <v>19</v>
      </c>
      <c r="S177" s="2" t="s">
        <v>20</v>
      </c>
      <c r="T177" s="11" t="s">
        <v>20</v>
      </c>
    </row>
    <row r="178" spans="1:20" thickTop="1" thickBot="1" x14ac:dyDescent="0.35">
      <c r="A178" s="3" t="s">
        <v>600</v>
      </c>
      <c r="B178" s="4" t="s">
        <v>601</v>
      </c>
      <c r="C178" s="4">
        <v>2011</v>
      </c>
      <c r="D178" s="5" t="s">
        <v>108</v>
      </c>
      <c r="E178" s="5" t="s">
        <v>31</v>
      </c>
      <c r="F178" s="6">
        <f>791-2</f>
        <v>789</v>
      </c>
      <c r="G178" s="7">
        <v>814</v>
      </c>
      <c r="H178" s="8" t="s">
        <v>91</v>
      </c>
      <c r="I178" s="2" t="str">
        <f>""</f>
        <v/>
      </c>
      <c r="J178" s="9" t="str">
        <f>""</f>
        <v/>
      </c>
      <c r="K178" s="4" t="s">
        <v>602</v>
      </c>
      <c r="L178" s="4" t="str">
        <f>""</f>
        <v/>
      </c>
      <c r="M178" s="2" t="s">
        <v>603</v>
      </c>
      <c r="N178" s="5" t="str">
        <f>""</f>
        <v/>
      </c>
      <c r="O178" s="41"/>
      <c r="P178" s="5" t="s">
        <v>19</v>
      </c>
      <c r="Q178" s="10" t="s">
        <v>19</v>
      </c>
      <c r="R178" s="5" t="s">
        <v>20</v>
      </c>
      <c r="S178" s="2" t="str">
        <f>""</f>
        <v/>
      </c>
      <c r="T178" s="11" t="s">
        <v>20</v>
      </c>
    </row>
    <row r="179" spans="1:20" thickTop="1" thickBot="1" x14ac:dyDescent="0.35">
      <c r="A179" s="3" t="s">
        <v>604</v>
      </c>
      <c r="B179" s="4" t="s">
        <v>247</v>
      </c>
      <c r="C179" s="4">
        <v>1673</v>
      </c>
      <c r="D179" s="5" t="s">
        <v>23</v>
      </c>
      <c r="E179" s="5" t="s">
        <v>39</v>
      </c>
      <c r="F179" s="6">
        <f>254-24</f>
        <v>230</v>
      </c>
      <c r="G179" s="7">
        <v>356</v>
      </c>
      <c r="H179" s="8" t="s">
        <v>15</v>
      </c>
      <c r="I179" s="2">
        <v>3300</v>
      </c>
      <c r="J179" s="9" t="s">
        <v>25</v>
      </c>
      <c r="K179" s="4" t="s">
        <v>605</v>
      </c>
      <c r="L179" s="4" t="s">
        <v>249</v>
      </c>
      <c r="M179" s="2" t="str">
        <f>""</f>
        <v/>
      </c>
      <c r="N179" s="10">
        <v>44642</v>
      </c>
      <c r="O179" s="41"/>
      <c r="P179" s="5" t="s">
        <v>19</v>
      </c>
      <c r="Q179" s="10" t="s">
        <v>19</v>
      </c>
      <c r="R179" s="5" t="s">
        <v>19</v>
      </c>
      <c r="S179" s="2" t="s">
        <v>20</v>
      </c>
      <c r="T179" s="11" t="s">
        <v>20</v>
      </c>
    </row>
    <row r="180" spans="1:20" thickTop="1" thickBot="1" x14ac:dyDescent="0.35">
      <c r="A180" s="3" t="s">
        <v>606</v>
      </c>
      <c r="B180" s="4" t="s">
        <v>607</v>
      </c>
      <c r="C180" s="4">
        <v>1930</v>
      </c>
      <c r="D180" s="5" t="s">
        <v>30</v>
      </c>
      <c r="E180" s="5" t="s">
        <v>31</v>
      </c>
      <c r="F180" s="6">
        <f>176-70</f>
        <v>106</v>
      </c>
      <c r="G180" s="7">
        <v>228</v>
      </c>
      <c r="H180" s="8" t="s">
        <v>15</v>
      </c>
      <c r="I180" s="2">
        <v>1440</v>
      </c>
      <c r="J180" s="9" t="s">
        <v>32</v>
      </c>
      <c r="K180" s="4" t="s">
        <v>608</v>
      </c>
      <c r="L180" s="2" t="s">
        <v>383</v>
      </c>
      <c r="M180" s="2" t="s">
        <v>609</v>
      </c>
      <c r="N180" s="10">
        <v>44470</v>
      </c>
      <c r="O180" s="41"/>
      <c r="P180" s="5" t="s">
        <v>19</v>
      </c>
      <c r="Q180" s="10" t="s">
        <v>19</v>
      </c>
      <c r="R180" s="5" t="s">
        <v>20</v>
      </c>
      <c r="S180" s="5" t="str">
        <f>""</f>
        <v/>
      </c>
      <c r="T180" s="11" t="s">
        <v>20</v>
      </c>
    </row>
    <row r="181" spans="1:20" thickTop="1" thickBot="1" x14ac:dyDescent="0.35">
      <c r="A181" s="3" t="s">
        <v>610</v>
      </c>
      <c r="B181" s="4" t="s">
        <v>247</v>
      </c>
      <c r="C181" s="4">
        <v>1666</v>
      </c>
      <c r="D181" s="5" t="s">
        <v>23</v>
      </c>
      <c r="E181" s="5" t="s">
        <v>39</v>
      </c>
      <c r="F181" s="6">
        <f>124-40</f>
        <v>84</v>
      </c>
      <c r="G181" s="7">
        <v>196</v>
      </c>
      <c r="H181" s="8" t="s">
        <v>15</v>
      </c>
      <c r="I181" s="2">
        <v>1642</v>
      </c>
      <c r="J181" s="9" t="s">
        <v>32</v>
      </c>
      <c r="K181" s="4" t="s">
        <v>611</v>
      </c>
      <c r="L181" s="2" t="s">
        <v>612</v>
      </c>
      <c r="M181" s="2" t="str">
        <f>""</f>
        <v/>
      </c>
      <c r="N181" s="2" t="str">
        <f>""</f>
        <v/>
      </c>
      <c r="O181" s="42"/>
      <c r="P181" s="5" t="s">
        <v>19</v>
      </c>
      <c r="Q181" s="10" t="s">
        <v>19</v>
      </c>
      <c r="R181" s="5" t="s">
        <v>20</v>
      </c>
      <c r="S181" s="5" t="str">
        <f>""</f>
        <v/>
      </c>
      <c r="T181" s="11" t="s">
        <v>20</v>
      </c>
    </row>
    <row r="182" spans="1:20" thickTop="1" thickBot="1" x14ac:dyDescent="0.35">
      <c r="A182" s="3" t="s">
        <v>613</v>
      </c>
      <c r="B182" s="4" t="s">
        <v>247</v>
      </c>
      <c r="C182" s="4">
        <v>1666</v>
      </c>
      <c r="D182" s="5" t="s">
        <v>23</v>
      </c>
      <c r="E182" s="5" t="s">
        <v>39</v>
      </c>
      <c r="F182" s="6">
        <f>133-34</f>
        <v>99</v>
      </c>
      <c r="G182" s="7">
        <v>196</v>
      </c>
      <c r="H182" s="8" t="s">
        <v>15</v>
      </c>
      <c r="I182" s="2">
        <v>1513</v>
      </c>
      <c r="J182" s="9" t="s">
        <v>32</v>
      </c>
      <c r="K182" s="4" t="s">
        <v>614</v>
      </c>
      <c r="L182" s="4" t="s">
        <v>615</v>
      </c>
      <c r="M182" s="2" t="str">
        <f>""</f>
        <v/>
      </c>
      <c r="N182" s="10">
        <v>44562</v>
      </c>
      <c r="O182" s="41">
        <v>2.2999999999999998</v>
      </c>
      <c r="P182" s="5" t="s">
        <v>19</v>
      </c>
      <c r="Q182" s="10" t="s">
        <v>19</v>
      </c>
      <c r="R182" s="5" t="s">
        <v>20</v>
      </c>
      <c r="S182" s="2" t="str">
        <f>""</f>
        <v/>
      </c>
      <c r="T182" s="11" t="s">
        <v>20</v>
      </c>
    </row>
    <row r="183" spans="1:20" thickTop="1" thickBot="1" x14ac:dyDescent="0.35">
      <c r="A183" s="3" t="s">
        <v>616</v>
      </c>
      <c r="B183" s="4" t="s">
        <v>258</v>
      </c>
      <c r="C183" s="4">
        <v>1942</v>
      </c>
      <c r="D183" s="5" t="s">
        <v>38</v>
      </c>
      <c r="E183" s="5" t="s">
        <v>39</v>
      </c>
      <c r="F183" s="6">
        <f>221-4</f>
        <v>217</v>
      </c>
      <c r="G183" s="7">
        <f>242/3</f>
        <v>80.666666666666671</v>
      </c>
      <c r="H183" s="8" t="s">
        <v>131</v>
      </c>
      <c r="I183" s="2">
        <v>16</v>
      </c>
      <c r="J183" s="9" t="s">
        <v>38</v>
      </c>
      <c r="K183" s="4" t="s">
        <v>259</v>
      </c>
      <c r="L183" s="4" t="str">
        <f>""</f>
        <v/>
      </c>
      <c r="M183" s="2" t="str">
        <f>""</f>
        <v/>
      </c>
      <c r="N183" s="10">
        <v>44833</v>
      </c>
      <c r="O183" s="41" t="s">
        <v>1029</v>
      </c>
      <c r="P183" s="5" t="s">
        <v>19</v>
      </c>
      <c r="Q183" s="10" t="s">
        <v>19</v>
      </c>
      <c r="R183" s="5" t="s">
        <v>20</v>
      </c>
      <c r="S183" s="2" t="str">
        <f>""</f>
        <v/>
      </c>
      <c r="T183" s="11" t="s">
        <v>19</v>
      </c>
    </row>
    <row r="184" spans="1:20" thickTop="1" thickBot="1" x14ac:dyDescent="0.35">
      <c r="A184" s="3" t="s">
        <v>617</v>
      </c>
      <c r="B184" s="4" t="s">
        <v>311</v>
      </c>
      <c r="C184" s="4">
        <v>1835</v>
      </c>
      <c r="D184" s="5" t="s">
        <v>13</v>
      </c>
      <c r="E184" s="5" t="s">
        <v>39</v>
      </c>
      <c r="F184" s="6">
        <f>354-44</f>
        <v>310</v>
      </c>
      <c r="G184" s="7">
        <v>452</v>
      </c>
      <c r="H184" s="8" t="s">
        <v>57</v>
      </c>
      <c r="I184" s="2">
        <v>757</v>
      </c>
      <c r="J184" s="9" t="s">
        <v>618</v>
      </c>
      <c r="K184" s="4" t="s">
        <v>619</v>
      </c>
      <c r="L184" s="4" t="s">
        <v>620</v>
      </c>
      <c r="M184" s="2" t="str">
        <f>""</f>
        <v/>
      </c>
      <c r="N184" s="10">
        <v>42948</v>
      </c>
      <c r="O184" s="41">
        <v>3</v>
      </c>
      <c r="P184" s="5" t="s">
        <v>19</v>
      </c>
      <c r="Q184" s="10" t="s">
        <v>19</v>
      </c>
      <c r="R184" s="5" t="s">
        <v>20</v>
      </c>
      <c r="S184" s="2" t="str">
        <f>""</f>
        <v/>
      </c>
      <c r="T184" s="11" t="s">
        <v>20</v>
      </c>
    </row>
    <row r="185" spans="1:20" thickTop="1" thickBot="1" x14ac:dyDescent="0.35">
      <c r="A185" s="3" t="s">
        <v>621</v>
      </c>
      <c r="B185" s="4" t="s">
        <v>622</v>
      </c>
      <c r="C185" s="4">
        <v>1532</v>
      </c>
      <c r="D185" s="5" t="s">
        <v>30</v>
      </c>
      <c r="E185" s="5" t="s">
        <v>130</v>
      </c>
      <c r="F185" s="6">
        <f>180-64</f>
        <v>116</v>
      </c>
      <c r="G185" s="7">
        <v>226</v>
      </c>
      <c r="H185" s="8" t="s">
        <v>15</v>
      </c>
      <c r="I185" s="2">
        <v>317</v>
      </c>
      <c r="J185" s="9" t="s">
        <v>32</v>
      </c>
      <c r="K185" s="4" t="s">
        <v>623</v>
      </c>
      <c r="L185" s="4" t="s">
        <v>624</v>
      </c>
      <c r="M185" s="4" t="s">
        <v>624</v>
      </c>
      <c r="N185" s="2" t="str">
        <f>""</f>
        <v/>
      </c>
      <c r="O185" s="42"/>
      <c r="P185" s="5" t="s">
        <v>19</v>
      </c>
      <c r="Q185" s="10" t="s">
        <v>19</v>
      </c>
      <c r="R185" s="5" t="s">
        <v>20</v>
      </c>
      <c r="S185" s="5" t="str">
        <f>""</f>
        <v/>
      </c>
      <c r="T185" s="11" t="s">
        <v>20</v>
      </c>
    </row>
    <row r="186" spans="1:20" thickTop="1" thickBot="1" x14ac:dyDescent="0.35">
      <c r="A186" s="3" t="s">
        <v>625</v>
      </c>
      <c r="B186" s="4" t="s">
        <v>469</v>
      </c>
      <c r="C186" s="4">
        <v>1925</v>
      </c>
      <c r="D186" s="5" t="s">
        <v>13</v>
      </c>
      <c r="E186" s="5" t="s">
        <v>31</v>
      </c>
      <c r="F186" s="6">
        <f>330-26</f>
        <v>304</v>
      </c>
      <c r="G186" s="7">
        <v>468</v>
      </c>
      <c r="H186" s="8" t="s">
        <v>15</v>
      </c>
      <c r="I186" s="2">
        <v>1840</v>
      </c>
      <c r="J186" s="2" t="s">
        <v>25</v>
      </c>
      <c r="K186" s="4" t="s">
        <v>626</v>
      </c>
      <c r="L186" s="2" t="s">
        <v>627</v>
      </c>
      <c r="M186" s="4" t="s">
        <v>628</v>
      </c>
      <c r="N186" s="10">
        <v>44992</v>
      </c>
      <c r="O186" s="41" t="s">
        <v>1025</v>
      </c>
      <c r="P186" s="5" t="s">
        <v>19</v>
      </c>
      <c r="Q186" s="10" t="s">
        <v>19</v>
      </c>
      <c r="R186" s="5" t="s">
        <v>19</v>
      </c>
      <c r="S186" s="2" t="s">
        <v>20</v>
      </c>
      <c r="T186" s="11" t="s">
        <v>20</v>
      </c>
    </row>
    <row r="187" spans="1:20" thickTop="1" thickBot="1" x14ac:dyDescent="0.35">
      <c r="A187" s="3" t="s">
        <v>629</v>
      </c>
      <c r="B187" s="4" t="s">
        <v>211</v>
      </c>
      <c r="C187" s="4">
        <v>1895</v>
      </c>
      <c r="D187" s="5" t="s">
        <v>38</v>
      </c>
      <c r="E187" s="5" t="s">
        <v>39</v>
      </c>
      <c r="F187" s="6">
        <f>83-81</f>
        <v>2</v>
      </c>
      <c r="G187" s="7">
        <v>37</v>
      </c>
      <c r="H187" s="8" t="s">
        <v>15</v>
      </c>
      <c r="I187" s="2">
        <v>1459</v>
      </c>
      <c r="J187" s="9" t="s">
        <v>32</v>
      </c>
      <c r="K187" s="4" t="s">
        <v>212</v>
      </c>
      <c r="L187" s="4" t="s">
        <v>213</v>
      </c>
      <c r="M187" s="2" t="str">
        <f>""</f>
        <v/>
      </c>
      <c r="N187" s="5" t="str">
        <f>""</f>
        <v/>
      </c>
      <c r="O187" s="41">
        <v>0</v>
      </c>
      <c r="P187" s="5" t="s">
        <v>20</v>
      </c>
      <c r="Q187" s="10" t="s">
        <v>19</v>
      </c>
      <c r="R187" s="5" t="s">
        <v>20</v>
      </c>
      <c r="S187" s="2" t="str">
        <f>""</f>
        <v/>
      </c>
      <c r="T187" s="11" t="s">
        <v>20</v>
      </c>
    </row>
    <row r="188" spans="1:20" thickTop="1" thickBot="1" x14ac:dyDescent="0.35">
      <c r="A188" s="3" t="s">
        <v>630</v>
      </c>
      <c r="B188" s="4" t="s">
        <v>268</v>
      </c>
      <c r="C188" s="4">
        <v>1900</v>
      </c>
      <c r="D188" s="5" t="s">
        <v>30</v>
      </c>
      <c r="E188" s="5" t="s">
        <v>39</v>
      </c>
      <c r="F188" s="6">
        <f>182-54</f>
        <v>128</v>
      </c>
      <c r="G188" s="7">
        <v>276</v>
      </c>
      <c r="H188" s="8" t="s">
        <v>15</v>
      </c>
      <c r="I188" s="2">
        <v>1526</v>
      </c>
      <c r="J188" s="9" t="s">
        <v>32</v>
      </c>
      <c r="K188" s="4" t="s">
        <v>631</v>
      </c>
      <c r="L188" s="4" t="s">
        <v>632</v>
      </c>
      <c r="M188" s="2" t="str">
        <f>""</f>
        <v/>
      </c>
      <c r="N188" s="10">
        <v>44440</v>
      </c>
      <c r="O188" s="41">
        <v>7.5</v>
      </c>
      <c r="P188" s="5" t="s">
        <v>19</v>
      </c>
      <c r="Q188" s="10" t="s">
        <v>19</v>
      </c>
      <c r="R188" s="5" t="s">
        <v>19</v>
      </c>
      <c r="S188" s="5" t="s">
        <v>19</v>
      </c>
      <c r="T188" s="11" t="s">
        <v>20</v>
      </c>
    </row>
    <row r="189" spans="1:20" thickTop="1" thickBot="1" x14ac:dyDescent="0.35">
      <c r="A189" s="3" t="s">
        <v>633</v>
      </c>
      <c r="B189" s="4" t="s">
        <v>634</v>
      </c>
      <c r="C189" s="4">
        <v>1830</v>
      </c>
      <c r="D189" s="5" t="s">
        <v>13</v>
      </c>
      <c r="E189" s="5" t="s">
        <v>39</v>
      </c>
      <c r="F189" s="6">
        <f>686-68</f>
        <v>618</v>
      </c>
      <c r="G189" s="7">
        <v>868</v>
      </c>
      <c r="H189" s="8" t="s">
        <v>57</v>
      </c>
      <c r="I189" s="2">
        <v>357</v>
      </c>
      <c r="J189" s="9" t="s">
        <v>69</v>
      </c>
      <c r="K189" s="4" t="s">
        <v>635</v>
      </c>
      <c r="L189" s="4" t="s">
        <v>636</v>
      </c>
      <c r="M189" s="2" t="str">
        <f>""</f>
        <v/>
      </c>
      <c r="N189" s="15">
        <v>44562</v>
      </c>
      <c r="O189" s="42"/>
      <c r="P189" s="5" t="s">
        <v>19</v>
      </c>
      <c r="Q189" s="10" t="s">
        <v>19</v>
      </c>
      <c r="R189" s="5" t="s">
        <v>20</v>
      </c>
      <c r="S189" s="2" t="str">
        <f>""</f>
        <v/>
      </c>
      <c r="T189" s="11" t="s">
        <v>20</v>
      </c>
    </row>
    <row r="190" spans="1:20" thickTop="1" thickBot="1" x14ac:dyDescent="0.35">
      <c r="A190" s="3" t="s">
        <v>637</v>
      </c>
      <c r="B190" s="4" t="s">
        <v>417</v>
      </c>
      <c r="C190" s="4">
        <v>650</v>
      </c>
      <c r="D190" s="5" t="s">
        <v>418</v>
      </c>
      <c r="E190" s="5" t="s">
        <v>638</v>
      </c>
      <c r="F190" s="6">
        <f>1091-8</f>
        <v>1083</v>
      </c>
      <c r="G190" s="7">
        <v>1140</v>
      </c>
      <c r="H190" s="8" t="s">
        <v>639</v>
      </c>
      <c r="I190" s="2" t="str">
        <f>""</f>
        <v/>
      </c>
      <c r="J190" s="9" t="str">
        <f>""</f>
        <v/>
      </c>
      <c r="K190" s="4" t="s">
        <v>640</v>
      </c>
      <c r="L190" s="2" t="str">
        <f>""</f>
        <v/>
      </c>
      <c r="M190" s="2" t="str">
        <f>""</f>
        <v/>
      </c>
      <c r="N190" s="17">
        <v>45200</v>
      </c>
      <c r="O190" s="42"/>
      <c r="P190" s="5" t="s">
        <v>19</v>
      </c>
      <c r="Q190" s="10" t="s">
        <v>19</v>
      </c>
      <c r="R190" s="5" t="s">
        <v>20</v>
      </c>
      <c r="S190" s="2" t="str">
        <f>""</f>
        <v/>
      </c>
      <c r="T190" s="11" t="s">
        <v>20</v>
      </c>
    </row>
    <row r="191" spans="1:20" thickTop="1" thickBot="1" x14ac:dyDescent="0.35">
      <c r="A191" s="3" t="s">
        <v>641</v>
      </c>
      <c r="B191" s="4" t="s">
        <v>642</v>
      </c>
      <c r="C191" s="4">
        <v>1558</v>
      </c>
      <c r="D191" s="5" t="s">
        <v>38</v>
      </c>
      <c r="E191" s="5" t="s">
        <v>39</v>
      </c>
      <c r="F191" s="6">
        <f>187-176</f>
        <v>11</v>
      </c>
      <c r="G191" s="7">
        <v>129</v>
      </c>
      <c r="H191" s="8" t="s">
        <v>57</v>
      </c>
      <c r="I191" s="2">
        <v>16107</v>
      </c>
      <c r="J191" s="9" t="s">
        <v>69</v>
      </c>
      <c r="K191" s="4" t="s">
        <v>643</v>
      </c>
      <c r="L191" s="4" t="s">
        <v>644</v>
      </c>
      <c r="M191" s="2" t="str">
        <f>""</f>
        <v/>
      </c>
      <c r="N191" s="10">
        <v>44409</v>
      </c>
      <c r="O191" s="41"/>
      <c r="P191" s="5" t="s">
        <v>19</v>
      </c>
      <c r="Q191" s="10" t="s">
        <v>19</v>
      </c>
      <c r="R191" s="5" t="s">
        <v>20</v>
      </c>
      <c r="S191" s="2" t="str">
        <f>""</f>
        <v/>
      </c>
      <c r="T191" s="11" t="s">
        <v>20</v>
      </c>
    </row>
    <row r="192" spans="1:20" thickTop="1" thickBot="1" x14ac:dyDescent="0.35">
      <c r="A192" s="3" t="s">
        <v>645</v>
      </c>
      <c r="B192" s="4" t="s">
        <v>55</v>
      </c>
      <c r="C192" s="4">
        <v>2009</v>
      </c>
      <c r="D192" s="5" t="s">
        <v>45</v>
      </c>
      <c r="E192" s="5" t="s">
        <v>46</v>
      </c>
      <c r="F192" s="6">
        <v>721</v>
      </c>
      <c r="G192" s="7">
        <v>740</v>
      </c>
      <c r="H192" s="8" t="s">
        <v>56</v>
      </c>
      <c r="I192" s="2">
        <v>32075</v>
      </c>
      <c r="J192" s="9" t="s">
        <v>57</v>
      </c>
      <c r="K192" s="4" t="s">
        <v>646</v>
      </c>
      <c r="L192" s="4" t="str">
        <f>""</f>
        <v/>
      </c>
      <c r="M192" s="2" t="s">
        <v>332</v>
      </c>
      <c r="N192" s="10">
        <v>42224</v>
      </c>
      <c r="O192" s="41"/>
      <c r="P192" s="5" t="s">
        <v>19</v>
      </c>
      <c r="Q192" s="10" t="s">
        <v>19</v>
      </c>
      <c r="R192" s="5" t="s">
        <v>19</v>
      </c>
      <c r="S192" s="5" t="s">
        <v>19</v>
      </c>
      <c r="T192" s="11" t="s">
        <v>20</v>
      </c>
    </row>
    <row r="193" spans="1:20" thickTop="1" thickBot="1" x14ac:dyDescent="0.35">
      <c r="A193" s="3" t="s">
        <v>647</v>
      </c>
      <c r="B193" s="4" t="s">
        <v>247</v>
      </c>
      <c r="C193" s="4">
        <v>1669</v>
      </c>
      <c r="D193" s="5" t="s">
        <v>23</v>
      </c>
      <c r="E193" s="5" t="s">
        <v>39</v>
      </c>
      <c r="F193" s="6">
        <f>158-32</f>
        <v>126</v>
      </c>
      <c r="G193" s="7">
        <v>244</v>
      </c>
      <c r="H193" s="8" t="s">
        <v>15</v>
      </c>
      <c r="I193" s="2">
        <v>3228</v>
      </c>
      <c r="J193" s="9" t="s">
        <v>25</v>
      </c>
      <c r="K193" s="4" t="s">
        <v>648</v>
      </c>
      <c r="L193" s="4" t="s">
        <v>563</v>
      </c>
      <c r="M193" s="2" t="str">
        <f>""</f>
        <v/>
      </c>
      <c r="N193" s="10">
        <v>44708</v>
      </c>
      <c r="O193" s="41"/>
      <c r="P193" s="5" t="s">
        <v>19</v>
      </c>
      <c r="Q193" s="10" t="s">
        <v>19</v>
      </c>
      <c r="R193" s="5" t="s">
        <v>20</v>
      </c>
      <c r="S193" s="5" t="str">
        <f>""</f>
        <v/>
      </c>
      <c r="T193" s="11" t="s">
        <v>20</v>
      </c>
    </row>
    <row r="194" spans="1:20" thickTop="1" thickBot="1" x14ac:dyDescent="0.35">
      <c r="A194" s="3" t="s">
        <v>649</v>
      </c>
      <c r="B194" s="4" t="s">
        <v>650</v>
      </c>
      <c r="C194" s="4">
        <v>1872</v>
      </c>
      <c r="D194" s="5" t="s">
        <v>13</v>
      </c>
      <c r="E194" s="5" t="s">
        <v>39</v>
      </c>
      <c r="F194" s="6">
        <f>335-26</f>
        <v>309</v>
      </c>
      <c r="G194" s="7">
        <v>420</v>
      </c>
      <c r="H194" s="8" t="s">
        <v>15</v>
      </c>
      <c r="I194" s="2">
        <v>4934</v>
      </c>
      <c r="J194" s="9" t="s">
        <v>25</v>
      </c>
      <c r="K194" s="4" t="s">
        <v>1024</v>
      </c>
      <c r="L194" s="4" t="s">
        <v>1020</v>
      </c>
      <c r="M194" s="4" t="str">
        <f>""</f>
        <v/>
      </c>
      <c r="N194" s="10">
        <v>45572</v>
      </c>
      <c r="O194" s="41">
        <v>7.6</v>
      </c>
      <c r="P194" s="5" t="s">
        <v>19</v>
      </c>
      <c r="Q194" s="10" t="s">
        <v>19</v>
      </c>
      <c r="R194" s="5" t="s">
        <v>20</v>
      </c>
      <c r="S194" s="2"/>
      <c r="T194" s="11" t="s">
        <v>20</v>
      </c>
    </row>
    <row r="195" spans="1:20" thickTop="1" thickBot="1" x14ac:dyDescent="0.35">
      <c r="A195" s="3" t="s">
        <v>651</v>
      </c>
      <c r="B195" s="4" t="s">
        <v>95</v>
      </c>
      <c r="C195" s="4">
        <v>1873</v>
      </c>
      <c r="D195" s="5" t="s">
        <v>13</v>
      </c>
      <c r="E195" s="5" t="s">
        <v>39</v>
      </c>
      <c r="F195" s="6">
        <f>499-16</f>
        <v>483</v>
      </c>
      <c r="G195" s="7">
        <v>548</v>
      </c>
      <c r="H195" s="8" t="s">
        <v>57</v>
      </c>
      <c r="I195" s="2">
        <v>277</v>
      </c>
      <c r="J195" s="9" t="s">
        <v>69</v>
      </c>
      <c r="K195" s="4" t="s">
        <v>652</v>
      </c>
      <c r="L195" s="4" t="s">
        <v>653</v>
      </c>
      <c r="M195" s="4" t="str">
        <f>""</f>
        <v/>
      </c>
      <c r="N195" s="10">
        <v>44136</v>
      </c>
      <c r="O195" s="41"/>
      <c r="P195" s="5" t="s">
        <v>19</v>
      </c>
      <c r="Q195" s="10" t="s">
        <v>19</v>
      </c>
      <c r="R195" s="5" t="s">
        <v>20</v>
      </c>
      <c r="S195" s="2" t="str">
        <f>""</f>
        <v/>
      </c>
      <c r="T195" s="11" t="s">
        <v>20</v>
      </c>
    </row>
    <row r="196" spans="1:20" thickTop="1" thickBot="1" x14ac:dyDescent="0.35">
      <c r="A196" s="3" t="s">
        <v>654</v>
      </c>
      <c r="B196" s="4" t="s">
        <v>247</v>
      </c>
      <c r="C196" s="4">
        <v>1662</v>
      </c>
      <c r="D196" s="5" t="s">
        <v>23</v>
      </c>
      <c r="E196" s="5" t="s">
        <v>39</v>
      </c>
      <c r="F196" s="6">
        <f>160-28</f>
        <v>132</v>
      </c>
      <c r="G196" s="7">
        <v>214</v>
      </c>
      <c r="H196" s="8" t="s">
        <v>15</v>
      </c>
      <c r="I196" s="2">
        <v>3377</v>
      </c>
      <c r="J196" s="9" t="s">
        <v>25</v>
      </c>
      <c r="K196" s="4" t="s">
        <v>655</v>
      </c>
      <c r="L196" s="4" t="s">
        <v>563</v>
      </c>
      <c r="M196" s="2" t="str">
        <f>""</f>
        <v/>
      </c>
      <c r="N196" s="15">
        <v>44873</v>
      </c>
      <c r="O196" s="42">
        <v>2</v>
      </c>
      <c r="P196" s="5" t="s">
        <v>19</v>
      </c>
      <c r="Q196" s="10" t="s">
        <v>19</v>
      </c>
      <c r="R196" s="5" t="s">
        <v>20</v>
      </c>
      <c r="S196" s="2" t="str">
        <f>""</f>
        <v/>
      </c>
      <c r="T196" s="11" t="s">
        <v>20</v>
      </c>
    </row>
    <row r="197" spans="1:20" thickTop="1" thickBot="1" x14ac:dyDescent="0.35">
      <c r="A197" s="3" t="s">
        <v>656</v>
      </c>
      <c r="B197" s="4" t="s">
        <v>657</v>
      </c>
      <c r="C197" s="4">
        <v>1869</v>
      </c>
      <c r="D197" s="5" t="s">
        <v>13</v>
      </c>
      <c r="E197" s="5" t="s">
        <v>39</v>
      </c>
      <c r="F197" s="6">
        <f>626-38</f>
        <v>588</v>
      </c>
      <c r="G197" s="7">
        <v>676</v>
      </c>
      <c r="H197" s="8" t="s">
        <v>57</v>
      </c>
      <c r="I197" s="2">
        <v>1499</v>
      </c>
      <c r="J197" s="9" t="s">
        <v>69</v>
      </c>
      <c r="K197" s="4" t="s">
        <v>658</v>
      </c>
      <c r="L197" s="4" t="s">
        <v>659</v>
      </c>
      <c r="M197" s="2" t="str">
        <f>""</f>
        <v/>
      </c>
      <c r="N197" s="10">
        <v>44378</v>
      </c>
      <c r="O197" s="41"/>
      <c r="P197" s="5" t="s">
        <v>19</v>
      </c>
      <c r="Q197" s="10" t="s">
        <v>19</v>
      </c>
      <c r="R197" s="5" t="s">
        <v>20</v>
      </c>
      <c r="S197" s="2" t="str">
        <f>""</f>
        <v/>
      </c>
      <c r="T197" s="11" t="s">
        <v>20</v>
      </c>
    </row>
    <row r="198" spans="1:20" thickTop="1" thickBot="1" x14ac:dyDescent="0.35">
      <c r="A198" s="3" t="s">
        <v>1178</v>
      </c>
      <c r="B198" s="4" t="s">
        <v>1179</v>
      </c>
      <c r="C198" s="4">
        <v>2003</v>
      </c>
      <c r="D198" s="5" t="s">
        <v>1037</v>
      </c>
      <c r="E198" s="5" t="s">
        <v>39</v>
      </c>
      <c r="F198" s="6">
        <f>46-0</f>
        <v>46</v>
      </c>
      <c r="G198" s="7">
        <v>58</v>
      </c>
      <c r="H198" s="8" t="s">
        <v>1180</v>
      </c>
      <c r="K198" s="4" t="s">
        <v>1181</v>
      </c>
      <c r="O198" s="41"/>
      <c r="P198" s="5" t="s">
        <v>19</v>
      </c>
      <c r="Q198" s="5" t="s">
        <v>19</v>
      </c>
      <c r="R198" s="5" t="s">
        <v>19</v>
      </c>
      <c r="S198" s="16" t="s">
        <v>20</v>
      </c>
      <c r="T198" s="11" t="s">
        <v>20</v>
      </c>
    </row>
    <row r="199" spans="1:20" thickTop="1" thickBot="1" x14ac:dyDescent="0.35">
      <c r="A199" s="3" t="s">
        <v>660</v>
      </c>
      <c r="B199" s="4" t="s">
        <v>661</v>
      </c>
      <c r="C199" s="4">
        <v>1931</v>
      </c>
      <c r="D199" s="5" t="s">
        <v>161</v>
      </c>
      <c r="E199" s="5" t="s">
        <v>39</v>
      </c>
      <c r="F199" s="6">
        <f>158-4</f>
        <v>154</v>
      </c>
      <c r="G199" s="7">
        <v>164</v>
      </c>
      <c r="H199" s="8" t="s">
        <v>15</v>
      </c>
      <c r="I199" s="2">
        <v>252</v>
      </c>
      <c r="J199" s="9" t="s">
        <v>16</v>
      </c>
      <c r="K199" s="4" t="s">
        <v>662</v>
      </c>
      <c r="L199" s="4" t="str">
        <f>""</f>
        <v/>
      </c>
      <c r="M199" s="2" t="str">
        <f>""</f>
        <v/>
      </c>
      <c r="N199" s="10">
        <v>39727</v>
      </c>
      <c r="O199" s="41" t="s">
        <v>1006</v>
      </c>
      <c r="P199" s="5" t="s">
        <v>19</v>
      </c>
      <c r="Q199" s="10" t="s">
        <v>19</v>
      </c>
      <c r="R199" s="5" t="s">
        <v>19</v>
      </c>
      <c r="S199" s="18" t="s">
        <v>20</v>
      </c>
      <c r="T199" s="11" t="s">
        <v>20</v>
      </c>
    </row>
    <row r="200" spans="1:20" thickTop="1" thickBot="1" x14ac:dyDescent="0.35">
      <c r="A200" s="3" t="s">
        <v>663</v>
      </c>
      <c r="B200" s="4" t="s">
        <v>664</v>
      </c>
      <c r="C200" s="4">
        <v>2017</v>
      </c>
      <c r="D200" s="5" t="s">
        <v>108</v>
      </c>
      <c r="E200" s="5" t="s">
        <v>31</v>
      </c>
      <c r="F200" s="6">
        <f>449-0</f>
        <v>449</v>
      </c>
      <c r="G200" s="7">
        <v>496</v>
      </c>
      <c r="H200" s="8" t="s">
        <v>91</v>
      </c>
      <c r="I200" s="2" t="str">
        <f>""</f>
        <v/>
      </c>
      <c r="J200" s="9" t="s">
        <v>92</v>
      </c>
      <c r="K200" s="4" t="s">
        <v>665</v>
      </c>
      <c r="L200" s="4" t="str">
        <f>""</f>
        <v/>
      </c>
      <c r="M200" s="4" t="str">
        <f>""</f>
        <v/>
      </c>
      <c r="N200" s="5" t="str">
        <f>""</f>
        <v/>
      </c>
      <c r="O200" s="41">
        <v>20</v>
      </c>
      <c r="P200" s="5" t="s">
        <v>19</v>
      </c>
      <c r="Q200" s="10" t="s">
        <v>19</v>
      </c>
      <c r="R200" s="5" t="s">
        <v>19</v>
      </c>
      <c r="S200" s="5" t="s">
        <v>19</v>
      </c>
      <c r="T200" s="11" t="s">
        <v>19</v>
      </c>
    </row>
    <row r="201" spans="1:20" thickTop="1" thickBot="1" x14ac:dyDescent="0.35">
      <c r="A201" s="3" t="s">
        <v>666</v>
      </c>
      <c r="B201" s="4" t="s">
        <v>667</v>
      </c>
      <c r="C201" s="4">
        <v>1552</v>
      </c>
      <c r="D201" s="5" t="s">
        <v>38</v>
      </c>
      <c r="E201" s="5" t="s">
        <v>39</v>
      </c>
      <c r="F201" s="6">
        <f>426-38</f>
        <v>388</v>
      </c>
      <c r="G201" s="7">
        <v>708</v>
      </c>
      <c r="H201" s="8" t="s">
        <v>57</v>
      </c>
      <c r="I201" s="2">
        <v>36026</v>
      </c>
      <c r="J201" s="9" t="s">
        <v>69</v>
      </c>
      <c r="K201" s="4" t="s">
        <v>668</v>
      </c>
      <c r="L201" s="4" t="s">
        <v>644</v>
      </c>
      <c r="M201" s="4" t="str">
        <f>""</f>
        <v/>
      </c>
      <c r="N201" s="17">
        <v>44228</v>
      </c>
      <c r="O201" s="42"/>
      <c r="P201" s="5" t="s">
        <v>19</v>
      </c>
      <c r="Q201" s="10" t="s">
        <v>19</v>
      </c>
      <c r="R201" s="5" t="s">
        <v>20</v>
      </c>
      <c r="S201" s="2" t="str">
        <f>""</f>
        <v/>
      </c>
      <c r="T201" s="11" t="s">
        <v>20</v>
      </c>
    </row>
    <row r="202" spans="1:20" thickTop="1" thickBot="1" x14ac:dyDescent="0.35">
      <c r="A202" s="3" t="s">
        <v>669</v>
      </c>
      <c r="B202" s="4" t="s">
        <v>642</v>
      </c>
      <c r="C202" s="4">
        <v>1558</v>
      </c>
      <c r="D202" s="5" t="s">
        <v>38</v>
      </c>
      <c r="E202" s="5" t="s">
        <v>39</v>
      </c>
      <c r="F202" s="6">
        <f>176-156</f>
        <v>20</v>
      </c>
      <c r="G202" s="7">
        <v>130</v>
      </c>
      <c r="H202" s="8" t="s">
        <v>57</v>
      </c>
      <c r="I202" s="2">
        <v>16107</v>
      </c>
      <c r="J202" s="9" t="s">
        <v>69</v>
      </c>
      <c r="K202" s="4" t="s">
        <v>643</v>
      </c>
      <c r="L202" s="4" t="s">
        <v>644</v>
      </c>
      <c r="M202" s="2" t="str">
        <f>""</f>
        <v/>
      </c>
      <c r="N202" s="10">
        <v>44409</v>
      </c>
      <c r="O202" s="41"/>
      <c r="P202" s="5" t="s">
        <v>19</v>
      </c>
      <c r="Q202" s="10" t="s">
        <v>19</v>
      </c>
      <c r="R202" s="5" t="s">
        <v>20</v>
      </c>
      <c r="S202" s="2" t="str">
        <f>""</f>
        <v/>
      </c>
      <c r="T202" s="11" t="s">
        <v>20</v>
      </c>
    </row>
    <row r="203" spans="1:20" thickTop="1" thickBot="1" x14ac:dyDescent="0.35">
      <c r="A203" s="3" t="s">
        <v>1070</v>
      </c>
      <c r="B203" s="4" t="s">
        <v>1071</v>
      </c>
      <c r="C203" s="4">
        <v>1993</v>
      </c>
      <c r="D203" s="5" t="s">
        <v>1037</v>
      </c>
      <c r="E203" s="5" t="s">
        <v>39</v>
      </c>
      <c r="F203" s="6">
        <f>62</f>
        <v>62</v>
      </c>
      <c r="G203" s="7">
        <v>68</v>
      </c>
      <c r="H203" s="8" t="s">
        <v>1072</v>
      </c>
      <c r="K203" s="4" t="s">
        <v>1073</v>
      </c>
      <c r="M203" s="2"/>
      <c r="N203" s="17">
        <v>40725</v>
      </c>
      <c r="O203" s="42">
        <v>15</v>
      </c>
      <c r="P203" s="5" t="s">
        <v>19</v>
      </c>
      <c r="Q203" s="5" t="s">
        <v>19</v>
      </c>
      <c r="R203" s="5" t="s">
        <v>20</v>
      </c>
      <c r="S203" s="43"/>
      <c r="T203" s="11" t="s">
        <v>20</v>
      </c>
    </row>
    <row r="204" spans="1:20" thickTop="1" thickBot="1" x14ac:dyDescent="0.35">
      <c r="A204" s="3" t="s">
        <v>1074</v>
      </c>
      <c r="B204" s="4" t="s">
        <v>1071</v>
      </c>
      <c r="C204" s="4">
        <v>1993</v>
      </c>
      <c r="D204" s="5" t="s">
        <v>1037</v>
      </c>
      <c r="E204" s="5" t="s">
        <v>39</v>
      </c>
      <c r="F204" s="6">
        <v>62</v>
      </c>
      <c r="G204" s="7">
        <v>68</v>
      </c>
      <c r="H204" s="8" t="s">
        <v>1072</v>
      </c>
      <c r="K204" s="4" t="s">
        <v>1073</v>
      </c>
      <c r="M204" s="2"/>
      <c r="N204" s="13">
        <v>40725</v>
      </c>
      <c r="O204" s="41">
        <v>0</v>
      </c>
      <c r="P204" s="5" t="s">
        <v>20</v>
      </c>
      <c r="Q204" s="5" t="s">
        <v>19</v>
      </c>
      <c r="R204" s="5" t="s">
        <v>20</v>
      </c>
      <c r="S204" s="43"/>
      <c r="T204" s="11" t="s">
        <v>20</v>
      </c>
    </row>
    <row r="205" spans="1:20" thickTop="1" thickBot="1" x14ac:dyDescent="0.35">
      <c r="A205" s="3" t="s">
        <v>1122</v>
      </c>
      <c r="B205" s="4" t="s">
        <v>1123</v>
      </c>
      <c r="C205" s="4">
        <v>2004</v>
      </c>
      <c r="D205" s="5" t="s">
        <v>1037</v>
      </c>
      <c r="E205" s="5" t="s">
        <v>39</v>
      </c>
      <c r="F205" s="6">
        <v>30</v>
      </c>
      <c r="G205" s="7">
        <v>38</v>
      </c>
      <c r="H205" s="8" t="s">
        <v>1124</v>
      </c>
      <c r="K205" s="4" t="s">
        <v>1125</v>
      </c>
      <c r="N205" s="13">
        <v>40817</v>
      </c>
      <c r="O205" s="41">
        <v>9.9499999999999993</v>
      </c>
      <c r="P205" s="5" t="s">
        <v>19</v>
      </c>
      <c r="Q205" s="5" t="s">
        <v>19</v>
      </c>
      <c r="R205" s="5" t="s">
        <v>19</v>
      </c>
      <c r="S205" s="43" t="s">
        <v>20</v>
      </c>
      <c r="T205" s="11" t="s">
        <v>20</v>
      </c>
    </row>
    <row r="206" spans="1:20" thickTop="1" thickBot="1" x14ac:dyDescent="0.35">
      <c r="A206" s="14" t="s">
        <v>1162</v>
      </c>
      <c r="B206" s="4" t="s">
        <v>1123</v>
      </c>
      <c r="C206" s="4">
        <v>2013</v>
      </c>
      <c r="D206" s="5" t="s">
        <v>1037</v>
      </c>
      <c r="E206" s="5" t="s">
        <v>39</v>
      </c>
      <c r="F206" s="6">
        <v>30</v>
      </c>
      <c r="G206" s="7">
        <v>38</v>
      </c>
      <c r="H206" s="8" t="s">
        <v>1124</v>
      </c>
      <c r="K206" s="4" t="s">
        <v>1163</v>
      </c>
      <c r="M206" s="2"/>
      <c r="N206" s="13">
        <v>41548</v>
      </c>
      <c r="O206" s="41">
        <v>9.9499999999999993</v>
      </c>
      <c r="P206" s="5" t="s">
        <v>19</v>
      </c>
      <c r="Q206" s="5" t="s">
        <v>19</v>
      </c>
      <c r="R206" s="5" t="s">
        <v>19</v>
      </c>
      <c r="S206" s="43" t="s">
        <v>20</v>
      </c>
      <c r="T206" s="11" t="s">
        <v>20</v>
      </c>
    </row>
    <row r="207" spans="1:20" thickTop="1" thickBot="1" x14ac:dyDescent="0.35">
      <c r="A207" s="3" t="s">
        <v>1126</v>
      </c>
      <c r="B207" s="4" t="s">
        <v>1123</v>
      </c>
      <c r="C207" s="4">
        <v>2004</v>
      </c>
      <c r="D207" s="5" t="s">
        <v>1037</v>
      </c>
      <c r="E207" s="5" t="s">
        <v>39</v>
      </c>
      <c r="F207" s="6">
        <v>30</v>
      </c>
      <c r="G207" s="7">
        <v>38</v>
      </c>
      <c r="H207" s="8" t="s">
        <v>1124</v>
      </c>
      <c r="K207" s="4" t="s">
        <v>1127</v>
      </c>
      <c r="N207" s="13">
        <v>40817</v>
      </c>
      <c r="O207" s="41">
        <v>9.9499999999999993</v>
      </c>
      <c r="P207" s="5" t="s">
        <v>19</v>
      </c>
      <c r="Q207" s="5" t="s">
        <v>19</v>
      </c>
      <c r="R207" s="5" t="s">
        <v>19</v>
      </c>
      <c r="S207" s="16" t="s">
        <v>20</v>
      </c>
      <c r="T207" s="11" t="s">
        <v>20</v>
      </c>
    </row>
    <row r="208" spans="1:20" thickTop="1" thickBot="1" x14ac:dyDescent="0.35">
      <c r="A208" s="3" t="s">
        <v>1130</v>
      </c>
      <c r="B208" s="4" t="s">
        <v>1123</v>
      </c>
      <c r="C208" s="4">
        <v>2005</v>
      </c>
      <c r="D208" s="5" t="s">
        <v>1037</v>
      </c>
      <c r="E208" s="5" t="s">
        <v>39</v>
      </c>
      <c r="F208" s="6">
        <v>30</v>
      </c>
      <c r="G208" s="7">
        <v>38</v>
      </c>
      <c r="H208" s="8" t="s">
        <v>1124</v>
      </c>
      <c r="K208" s="4" t="s">
        <v>1131</v>
      </c>
      <c r="L208" s="2"/>
      <c r="N208" s="13">
        <v>40634</v>
      </c>
      <c r="O208" s="41">
        <v>9.9499999999999993</v>
      </c>
      <c r="P208" s="5" t="s">
        <v>19</v>
      </c>
      <c r="Q208" s="5" t="s">
        <v>19</v>
      </c>
      <c r="R208" s="5" t="s">
        <v>19</v>
      </c>
      <c r="S208" s="16" t="s">
        <v>20</v>
      </c>
      <c r="T208" s="11" t="s">
        <v>20</v>
      </c>
    </row>
    <row r="209" spans="1:20" thickTop="1" thickBot="1" x14ac:dyDescent="0.35">
      <c r="A209" s="3" t="s">
        <v>1132</v>
      </c>
      <c r="B209" s="4" t="s">
        <v>1123</v>
      </c>
      <c r="C209" s="4">
        <v>2006</v>
      </c>
      <c r="D209" s="5" t="s">
        <v>1037</v>
      </c>
      <c r="E209" s="5" t="s">
        <v>39</v>
      </c>
      <c r="F209" s="6">
        <v>30</v>
      </c>
      <c r="G209" s="7">
        <v>38</v>
      </c>
      <c r="H209" s="8" t="s">
        <v>1124</v>
      </c>
      <c r="K209" s="4" t="s">
        <v>1133</v>
      </c>
      <c r="N209" s="17">
        <v>40360</v>
      </c>
      <c r="O209" s="42">
        <v>9.9499999999999993</v>
      </c>
      <c r="P209" s="5" t="s">
        <v>19</v>
      </c>
      <c r="Q209" s="5" t="s">
        <v>19</v>
      </c>
      <c r="R209" s="5" t="s">
        <v>19</v>
      </c>
      <c r="S209" s="43" t="s">
        <v>20</v>
      </c>
      <c r="T209" s="11" t="s">
        <v>20</v>
      </c>
    </row>
    <row r="210" spans="1:20" thickTop="1" thickBot="1" x14ac:dyDescent="0.35">
      <c r="A210" s="3" t="s">
        <v>1138</v>
      </c>
      <c r="B210" s="4" t="s">
        <v>1123</v>
      </c>
      <c r="C210" s="4">
        <v>2007</v>
      </c>
      <c r="D210" s="5" t="s">
        <v>1037</v>
      </c>
      <c r="E210" s="5" t="s">
        <v>39</v>
      </c>
      <c r="F210" s="6">
        <v>30</v>
      </c>
      <c r="G210" s="7">
        <v>38</v>
      </c>
      <c r="H210" s="8" t="s">
        <v>1124</v>
      </c>
      <c r="K210" s="4" t="s">
        <v>1139</v>
      </c>
      <c r="L210" s="2"/>
      <c r="M210" s="2"/>
      <c r="N210" s="13">
        <v>40026</v>
      </c>
      <c r="O210" s="41">
        <v>9.9499999999999993</v>
      </c>
      <c r="P210" s="5" t="s">
        <v>19</v>
      </c>
      <c r="Q210" s="5" t="s">
        <v>19</v>
      </c>
      <c r="R210" s="5" t="s">
        <v>19</v>
      </c>
      <c r="S210" s="43" t="s">
        <v>20</v>
      </c>
      <c r="T210" s="11" t="s">
        <v>20</v>
      </c>
    </row>
    <row r="211" spans="1:20" thickTop="1" thickBot="1" x14ac:dyDescent="0.35">
      <c r="A211" s="3" t="s">
        <v>1140</v>
      </c>
      <c r="B211" s="4" t="s">
        <v>1123</v>
      </c>
      <c r="C211" s="4">
        <v>2008</v>
      </c>
      <c r="D211" s="5" t="s">
        <v>1037</v>
      </c>
      <c r="E211" s="5" t="s">
        <v>39</v>
      </c>
      <c r="F211" s="6">
        <v>30</v>
      </c>
      <c r="G211" s="7">
        <v>38</v>
      </c>
      <c r="H211" s="8" t="s">
        <v>1124</v>
      </c>
      <c r="K211" s="4" t="s">
        <v>1141</v>
      </c>
      <c r="N211" s="13">
        <v>40360</v>
      </c>
      <c r="O211" s="41">
        <v>9.9499999999999993</v>
      </c>
      <c r="P211" s="5" t="s">
        <v>19</v>
      </c>
      <c r="Q211" s="5" t="s">
        <v>19</v>
      </c>
      <c r="R211" s="5" t="s">
        <v>19</v>
      </c>
      <c r="S211" s="43" t="s">
        <v>20</v>
      </c>
      <c r="T211" s="11" t="s">
        <v>20</v>
      </c>
    </row>
    <row r="212" spans="1:20" thickTop="1" thickBot="1" x14ac:dyDescent="0.35">
      <c r="A212" s="3" t="s">
        <v>1142</v>
      </c>
      <c r="B212" s="4" t="s">
        <v>1123</v>
      </c>
      <c r="C212" s="4">
        <v>2008</v>
      </c>
      <c r="D212" s="5" t="s">
        <v>1037</v>
      </c>
      <c r="E212" s="5" t="s">
        <v>39</v>
      </c>
      <c r="F212" s="6">
        <v>30</v>
      </c>
      <c r="G212" s="7">
        <v>38</v>
      </c>
      <c r="H212" s="8" t="s">
        <v>1124</v>
      </c>
      <c r="K212" s="4" t="s">
        <v>1143</v>
      </c>
      <c r="L212" s="2"/>
      <c r="M212" s="2"/>
      <c r="N212" s="13">
        <v>40483</v>
      </c>
      <c r="O212" s="41">
        <v>9.9499999999999993</v>
      </c>
      <c r="P212" s="5" t="s">
        <v>19</v>
      </c>
      <c r="Q212" s="5" t="s">
        <v>19</v>
      </c>
      <c r="R212" s="5" t="s">
        <v>19</v>
      </c>
      <c r="S212" s="16" t="s">
        <v>20</v>
      </c>
      <c r="T212" s="11" t="s">
        <v>20</v>
      </c>
    </row>
    <row r="213" spans="1:20" thickTop="1" thickBot="1" x14ac:dyDescent="0.35">
      <c r="A213" s="14" t="s">
        <v>1152</v>
      </c>
      <c r="B213" s="4" t="s">
        <v>1123</v>
      </c>
      <c r="C213" s="4">
        <v>2010</v>
      </c>
      <c r="D213" s="5" t="s">
        <v>1037</v>
      </c>
      <c r="E213" s="5" t="s">
        <v>39</v>
      </c>
      <c r="F213" s="6">
        <v>30</v>
      </c>
      <c r="G213" s="7">
        <v>38</v>
      </c>
      <c r="H213" s="8" t="s">
        <v>1124</v>
      </c>
      <c r="K213" s="4" t="s">
        <v>1153</v>
      </c>
      <c r="N213" s="17">
        <v>40452</v>
      </c>
      <c r="O213" s="42">
        <v>9.9499999999999993</v>
      </c>
      <c r="P213" s="5" t="s">
        <v>19</v>
      </c>
      <c r="Q213" s="5" t="s">
        <v>19</v>
      </c>
      <c r="R213" s="5" t="s">
        <v>19</v>
      </c>
      <c r="S213" s="16" t="s">
        <v>20</v>
      </c>
      <c r="T213" s="11" t="s">
        <v>20</v>
      </c>
    </row>
    <row r="214" spans="1:20" thickTop="1" thickBot="1" x14ac:dyDescent="0.35">
      <c r="A214" s="14" t="s">
        <v>1160</v>
      </c>
      <c r="B214" s="4" t="s">
        <v>1123</v>
      </c>
      <c r="C214" s="4">
        <v>2012</v>
      </c>
      <c r="D214" s="5" t="s">
        <v>1037</v>
      </c>
      <c r="E214" s="5" t="s">
        <v>39</v>
      </c>
      <c r="F214" s="6">
        <v>30</v>
      </c>
      <c r="G214" s="7">
        <v>38</v>
      </c>
      <c r="H214" s="8" t="s">
        <v>1124</v>
      </c>
      <c r="K214" s="4" t="s">
        <v>1161</v>
      </c>
      <c r="N214" s="17">
        <v>41183</v>
      </c>
      <c r="O214" s="42">
        <v>9.9499999999999993</v>
      </c>
      <c r="P214" s="5" t="s">
        <v>19</v>
      </c>
      <c r="Q214" s="5" t="s">
        <v>19</v>
      </c>
      <c r="R214" s="5" t="s">
        <v>19</v>
      </c>
      <c r="S214" s="16" t="s">
        <v>20</v>
      </c>
      <c r="T214" s="11" t="s">
        <v>20</v>
      </c>
    </row>
    <row r="215" spans="1:20" thickTop="1" thickBot="1" x14ac:dyDescent="0.35">
      <c r="A215" s="3" t="s">
        <v>670</v>
      </c>
      <c r="B215" s="4" t="s">
        <v>671</v>
      </c>
      <c r="C215" s="4">
        <v>1688</v>
      </c>
      <c r="D215" s="5" t="s">
        <v>30</v>
      </c>
      <c r="E215" s="5" t="s">
        <v>39</v>
      </c>
      <c r="F215" s="6">
        <f>605-114</f>
        <v>491</v>
      </c>
      <c r="G215" s="7">
        <v>648</v>
      </c>
      <c r="H215" s="8" t="s">
        <v>57</v>
      </c>
      <c r="I215" s="2">
        <v>1478</v>
      </c>
      <c r="J215" s="9" t="s">
        <v>69</v>
      </c>
      <c r="K215" s="4" t="s">
        <v>672</v>
      </c>
      <c r="L215" s="4" t="s">
        <v>673</v>
      </c>
      <c r="M215" s="4" t="str">
        <f>""</f>
        <v/>
      </c>
      <c r="N215" s="2" t="s">
        <v>674</v>
      </c>
      <c r="O215" s="42">
        <v>5.6</v>
      </c>
      <c r="P215" s="5" t="s">
        <v>19</v>
      </c>
      <c r="Q215" s="10" t="s">
        <v>19</v>
      </c>
      <c r="R215" s="5" t="s">
        <v>20</v>
      </c>
      <c r="S215" s="5" t="str">
        <f>""</f>
        <v/>
      </c>
      <c r="T215" s="11" t="s">
        <v>20</v>
      </c>
    </row>
    <row r="216" spans="1:20" thickTop="1" thickBot="1" x14ac:dyDescent="0.35">
      <c r="A216" s="3" t="s">
        <v>675</v>
      </c>
      <c r="B216" s="4" t="s">
        <v>540</v>
      </c>
      <c r="C216" s="4">
        <v>-424</v>
      </c>
      <c r="D216" s="5" t="s">
        <v>23</v>
      </c>
      <c r="E216" s="5" t="s">
        <v>75</v>
      </c>
      <c r="F216" s="6">
        <f>158-44</f>
        <v>114</v>
      </c>
      <c r="G216" s="7">
        <f>342/2</f>
        <v>171</v>
      </c>
      <c r="H216" s="8" t="s">
        <v>15</v>
      </c>
      <c r="I216" s="2">
        <v>1610</v>
      </c>
      <c r="J216" s="9" t="s">
        <v>32</v>
      </c>
      <c r="K216" s="4" t="s">
        <v>541</v>
      </c>
      <c r="L216" s="4" t="s">
        <v>542</v>
      </c>
      <c r="M216" s="2" t="s">
        <v>543</v>
      </c>
      <c r="N216" s="5" t="str">
        <f>""</f>
        <v/>
      </c>
      <c r="O216" s="41">
        <v>9.9</v>
      </c>
      <c r="P216" s="5" t="s">
        <v>19</v>
      </c>
      <c r="Q216" s="10" t="s">
        <v>19</v>
      </c>
      <c r="R216" s="5" t="s">
        <v>19</v>
      </c>
      <c r="S216" s="5" t="s">
        <v>20</v>
      </c>
      <c r="T216" s="11" t="s">
        <v>20</v>
      </c>
    </row>
    <row r="217" spans="1:20" thickTop="1" thickBot="1" x14ac:dyDescent="0.35">
      <c r="A217" s="3" t="s">
        <v>676</v>
      </c>
      <c r="B217" s="4" t="s">
        <v>450</v>
      </c>
      <c r="C217" s="4">
        <v>1989</v>
      </c>
      <c r="D217" s="5" t="s">
        <v>161</v>
      </c>
      <c r="E217" s="5" t="s">
        <v>68</v>
      </c>
      <c r="F217" s="6">
        <f>310-4</f>
        <v>306</v>
      </c>
      <c r="G217" s="7">
        <v>404</v>
      </c>
      <c r="H217" s="8" t="s">
        <v>451</v>
      </c>
      <c r="I217" s="2">
        <v>1738</v>
      </c>
      <c r="J217" s="9" t="str">
        <f>""</f>
        <v/>
      </c>
      <c r="K217" s="4" t="s">
        <v>677</v>
      </c>
      <c r="L217" s="4" t="str">
        <f>""</f>
        <v/>
      </c>
      <c r="M217" s="4" t="s">
        <v>678</v>
      </c>
      <c r="N217" s="13">
        <v>44866</v>
      </c>
      <c r="O217" s="41"/>
      <c r="P217" s="5" t="s">
        <v>19</v>
      </c>
      <c r="Q217" s="10" t="s">
        <v>19</v>
      </c>
      <c r="R217" s="5" t="s">
        <v>20</v>
      </c>
      <c r="S217" s="2" t="str">
        <f>""</f>
        <v/>
      </c>
      <c r="T217" s="11" t="s">
        <v>20</v>
      </c>
    </row>
    <row r="218" spans="1:20" thickTop="1" thickBot="1" x14ac:dyDescent="0.35">
      <c r="A218" s="3" t="s">
        <v>679</v>
      </c>
      <c r="B218" s="4" t="s">
        <v>148</v>
      </c>
      <c r="C218" s="4">
        <v>1853</v>
      </c>
      <c r="D218" s="5" t="s">
        <v>38</v>
      </c>
      <c r="E218" s="5" t="s">
        <v>39</v>
      </c>
      <c r="F218" s="6">
        <f>384-20</f>
        <v>364</v>
      </c>
      <c r="G218" s="7">
        <v>484</v>
      </c>
      <c r="H218" s="8" t="s">
        <v>57</v>
      </c>
      <c r="I218" s="2">
        <v>1378</v>
      </c>
      <c r="J218" s="9" t="s">
        <v>69</v>
      </c>
      <c r="K218" s="4" t="s">
        <v>680</v>
      </c>
      <c r="L218" s="4" t="s">
        <v>681</v>
      </c>
      <c r="M218" s="4" t="str">
        <f>""</f>
        <v/>
      </c>
      <c r="N218" s="17">
        <v>43617</v>
      </c>
      <c r="O218" s="42">
        <v>5.0999999999999996</v>
      </c>
      <c r="P218" s="5" t="s">
        <v>19</v>
      </c>
      <c r="Q218" s="10" t="s">
        <v>19</v>
      </c>
      <c r="R218" s="5" t="s">
        <v>20</v>
      </c>
      <c r="S218" s="5" t="str">
        <f>""</f>
        <v/>
      </c>
      <c r="T218" s="11" t="s">
        <v>20</v>
      </c>
    </row>
    <row r="219" spans="1:20" thickTop="1" thickBot="1" x14ac:dyDescent="0.35">
      <c r="A219" s="3" t="s">
        <v>1095</v>
      </c>
      <c r="B219" s="4" t="s">
        <v>1096</v>
      </c>
      <c r="C219" s="4">
        <v>2001</v>
      </c>
      <c r="D219" s="5" t="s">
        <v>1097</v>
      </c>
      <c r="E219" s="5" t="s">
        <v>14</v>
      </c>
      <c r="F219" s="6">
        <v>30</v>
      </c>
      <c r="G219" s="7">
        <v>38</v>
      </c>
      <c r="H219" s="8" t="s">
        <v>1098</v>
      </c>
      <c r="K219" s="4" t="s">
        <v>1099</v>
      </c>
      <c r="M219" s="2" t="s">
        <v>1100</v>
      </c>
      <c r="O219" s="41"/>
      <c r="P219" s="5" t="s">
        <v>19</v>
      </c>
      <c r="Q219" s="5" t="s">
        <v>19</v>
      </c>
      <c r="R219" s="5" t="s">
        <v>20</v>
      </c>
      <c r="S219" s="16"/>
      <c r="T219" s="11" t="s">
        <v>20</v>
      </c>
    </row>
    <row r="220" spans="1:20" thickTop="1" thickBot="1" x14ac:dyDescent="0.35">
      <c r="A220" s="3" t="s">
        <v>682</v>
      </c>
      <c r="B220" s="4" t="s">
        <v>148</v>
      </c>
      <c r="C220" s="4">
        <v>1856</v>
      </c>
      <c r="D220" s="5" t="s">
        <v>38</v>
      </c>
      <c r="E220" s="5" t="s">
        <v>39</v>
      </c>
      <c r="F220" s="6">
        <f>421-24</f>
        <v>397</v>
      </c>
      <c r="G220" s="7">
        <v>518</v>
      </c>
      <c r="H220" s="8" t="s">
        <v>131</v>
      </c>
      <c r="I220" s="2">
        <v>91</v>
      </c>
      <c r="J220" s="9" t="s">
        <v>38</v>
      </c>
      <c r="K220" s="4" t="s">
        <v>683</v>
      </c>
      <c r="L220" s="4" t="s">
        <v>684</v>
      </c>
      <c r="M220" s="4" t="str">
        <f>""</f>
        <v/>
      </c>
      <c r="N220" s="10">
        <v>43997</v>
      </c>
      <c r="O220" s="41" t="s">
        <v>1005</v>
      </c>
      <c r="P220" s="5" t="s">
        <v>19</v>
      </c>
      <c r="Q220" s="10" t="s">
        <v>19</v>
      </c>
      <c r="R220" s="5" t="s">
        <v>19</v>
      </c>
      <c r="S220" s="5" t="s">
        <v>19</v>
      </c>
      <c r="T220" s="11" t="s">
        <v>20</v>
      </c>
    </row>
    <row r="221" spans="1:20" thickTop="1" thickBot="1" x14ac:dyDescent="0.35">
      <c r="A221" s="3" t="s">
        <v>685</v>
      </c>
      <c r="B221" s="4" t="s">
        <v>211</v>
      </c>
      <c r="C221" s="4">
        <v>1895</v>
      </c>
      <c r="D221" s="5" t="s">
        <v>38</v>
      </c>
      <c r="E221" s="5" t="s">
        <v>39</v>
      </c>
      <c r="F221" s="6">
        <f>184-182</f>
        <v>2</v>
      </c>
      <c r="G221" s="7">
        <v>37</v>
      </c>
      <c r="H221" s="8" t="s">
        <v>15</v>
      </c>
      <c r="I221" s="2">
        <v>1459</v>
      </c>
      <c r="J221" s="9" t="s">
        <v>32</v>
      </c>
      <c r="K221" s="4" t="s">
        <v>212</v>
      </c>
      <c r="L221" s="4" t="s">
        <v>213</v>
      </c>
      <c r="M221" s="2" t="str">
        <f>""</f>
        <v/>
      </c>
      <c r="N221" s="5" t="str">
        <f>""</f>
        <v/>
      </c>
      <c r="O221" s="41">
        <v>0</v>
      </c>
      <c r="P221" s="5" t="s">
        <v>20</v>
      </c>
      <c r="Q221" s="10" t="s">
        <v>19</v>
      </c>
      <c r="R221" s="5" t="s">
        <v>20</v>
      </c>
      <c r="S221" s="2" t="str">
        <f>""</f>
        <v/>
      </c>
      <c r="T221" s="11" t="s">
        <v>20</v>
      </c>
    </row>
    <row r="222" spans="1:20" thickTop="1" thickBot="1" x14ac:dyDescent="0.35">
      <c r="A222" s="3" t="s">
        <v>686</v>
      </c>
      <c r="B222" s="4" t="s">
        <v>687</v>
      </c>
      <c r="C222" s="4">
        <v>2016</v>
      </c>
      <c r="D222" s="5" t="s">
        <v>108</v>
      </c>
      <c r="E222" s="5" t="s">
        <v>31</v>
      </c>
      <c r="F222" s="6">
        <f>767-2</f>
        <v>765</v>
      </c>
      <c r="G222" s="7">
        <v>794</v>
      </c>
      <c r="H222" s="8" t="s">
        <v>91</v>
      </c>
      <c r="I222" s="2" t="str">
        <f>""</f>
        <v/>
      </c>
      <c r="J222" s="9" t="s">
        <v>92</v>
      </c>
      <c r="K222" s="4" t="s">
        <v>688</v>
      </c>
      <c r="L222" s="4" t="str">
        <f>""</f>
        <v/>
      </c>
      <c r="M222" s="2" t="str">
        <f>""</f>
        <v/>
      </c>
      <c r="N222" s="5" t="str">
        <f>""</f>
        <v/>
      </c>
      <c r="O222" s="41"/>
      <c r="P222" s="5" t="s">
        <v>19</v>
      </c>
      <c r="Q222" s="10" t="s">
        <v>19</v>
      </c>
      <c r="R222" s="5" t="s">
        <v>20</v>
      </c>
      <c r="S222" s="2" t="str">
        <f>""</f>
        <v/>
      </c>
      <c r="T222" s="11" t="s">
        <v>20</v>
      </c>
    </row>
    <row r="223" spans="1:20" thickTop="1" thickBot="1" x14ac:dyDescent="0.35">
      <c r="A223" s="3" t="s">
        <v>689</v>
      </c>
      <c r="B223" s="4" t="s">
        <v>440</v>
      </c>
      <c r="C223" s="4">
        <v>1737</v>
      </c>
      <c r="D223" s="5" t="s">
        <v>23</v>
      </c>
      <c r="E223" s="5" t="s">
        <v>39</v>
      </c>
      <c r="F223" s="6">
        <f>132-20</f>
        <v>112</v>
      </c>
      <c r="G223" s="7">
        <v>228</v>
      </c>
      <c r="H223" s="8" t="s">
        <v>15</v>
      </c>
      <c r="I223" s="2">
        <v>1497</v>
      </c>
      <c r="J223" s="9" t="s">
        <v>32</v>
      </c>
      <c r="K223" s="4" t="s">
        <v>690</v>
      </c>
      <c r="L223" s="2" t="s">
        <v>691</v>
      </c>
      <c r="M223" s="4" t="str">
        <f>""</f>
        <v/>
      </c>
      <c r="N223" s="10">
        <v>43952</v>
      </c>
      <c r="O223" s="41">
        <v>3</v>
      </c>
      <c r="P223" s="5" t="s">
        <v>19</v>
      </c>
      <c r="Q223" s="10" t="s">
        <v>19</v>
      </c>
      <c r="R223" s="5" t="s">
        <v>20</v>
      </c>
      <c r="S223" s="5" t="str">
        <f>""</f>
        <v/>
      </c>
      <c r="T223" s="11" t="s">
        <v>20</v>
      </c>
    </row>
    <row r="224" spans="1:20" thickTop="1" thickBot="1" x14ac:dyDescent="0.35">
      <c r="A224" s="3" t="s">
        <v>692</v>
      </c>
      <c r="B224" s="4" t="s">
        <v>272</v>
      </c>
      <c r="C224" s="4">
        <v>1857</v>
      </c>
      <c r="D224" s="5" t="s">
        <v>38</v>
      </c>
      <c r="E224" s="5" t="s">
        <v>39</v>
      </c>
      <c r="F224" s="6">
        <f>262-44</f>
        <v>218</v>
      </c>
      <c r="G224" s="7">
        <v>378</v>
      </c>
      <c r="H224" s="8" t="s">
        <v>57</v>
      </c>
      <c r="I224" s="2">
        <v>677</v>
      </c>
      <c r="J224" s="9" t="s">
        <v>69</v>
      </c>
      <c r="K224" s="4" t="s">
        <v>693</v>
      </c>
      <c r="L224" s="4" t="s">
        <v>101</v>
      </c>
      <c r="M224" s="2" t="str">
        <f>""</f>
        <v/>
      </c>
      <c r="N224" s="10">
        <v>43525</v>
      </c>
      <c r="O224" s="41">
        <v>3</v>
      </c>
      <c r="P224" s="5" t="s">
        <v>19</v>
      </c>
      <c r="Q224" s="10" t="s">
        <v>19</v>
      </c>
      <c r="R224" s="5" t="s">
        <v>19</v>
      </c>
      <c r="S224" s="2" t="s">
        <v>19</v>
      </c>
      <c r="T224" s="11" t="s">
        <v>20</v>
      </c>
    </row>
    <row r="225" spans="1:20" thickTop="1" thickBot="1" x14ac:dyDescent="0.35">
      <c r="A225" s="3" t="s">
        <v>694</v>
      </c>
      <c r="B225" s="4" t="s">
        <v>247</v>
      </c>
      <c r="C225" s="4">
        <v>1671</v>
      </c>
      <c r="D225" s="5" t="s">
        <v>23</v>
      </c>
      <c r="E225" s="5" t="s">
        <v>39</v>
      </c>
      <c r="F225" s="6">
        <f>162-14</f>
        <v>148</v>
      </c>
      <c r="G225" s="7">
        <v>196</v>
      </c>
      <c r="H225" s="8" t="s">
        <v>15</v>
      </c>
      <c r="I225" s="2">
        <v>3231</v>
      </c>
      <c r="J225" s="9" t="s">
        <v>25</v>
      </c>
      <c r="K225" s="4" t="s">
        <v>695</v>
      </c>
      <c r="L225" s="4" t="s">
        <v>249</v>
      </c>
      <c r="M225" s="2" t="str">
        <f>""</f>
        <v/>
      </c>
      <c r="N225" s="10">
        <v>44340</v>
      </c>
      <c r="O225" s="41">
        <v>2</v>
      </c>
      <c r="P225" s="5" t="s">
        <v>19</v>
      </c>
      <c r="Q225" s="10" t="s">
        <v>19</v>
      </c>
      <c r="R225" s="5" t="s">
        <v>19</v>
      </c>
      <c r="S225" s="2" t="s">
        <v>19</v>
      </c>
      <c r="T225" s="11" t="s">
        <v>19</v>
      </c>
    </row>
    <row r="226" spans="1:20" thickTop="1" thickBot="1" x14ac:dyDescent="0.35">
      <c r="A226" s="3" t="s">
        <v>696</v>
      </c>
      <c r="B226" s="4" t="s">
        <v>172</v>
      </c>
      <c r="C226" s="4">
        <v>1880</v>
      </c>
      <c r="D226" s="5" t="s">
        <v>13</v>
      </c>
      <c r="E226" s="5" t="s">
        <v>68</v>
      </c>
      <c r="F226" s="6">
        <f>1162-10</f>
        <v>1152</v>
      </c>
      <c r="G226" s="7">
        <v>1228</v>
      </c>
      <c r="H226" s="8" t="s">
        <v>57</v>
      </c>
      <c r="I226" s="2">
        <v>4626</v>
      </c>
      <c r="J226" s="9" t="s">
        <v>69</v>
      </c>
      <c r="K226" s="4" t="s">
        <v>697</v>
      </c>
      <c r="L226" s="4" t="s">
        <v>698</v>
      </c>
      <c r="M226" s="4" t="s">
        <v>699</v>
      </c>
      <c r="N226" s="10">
        <v>44805</v>
      </c>
      <c r="O226" s="41"/>
      <c r="P226" s="5" t="s">
        <v>19</v>
      </c>
      <c r="Q226" s="10" t="s">
        <v>19</v>
      </c>
      <c r="R226" s="5" t="s">
        <v>20</v>
      </c>
      <c r="S226" s="5" t="str">
        <f>""</f>
        <v/>
      </c>
      <c r="T226" s="11" t="s">
        <v>20</v>
      </c>
    </row>
    <row r="227" spans="1:20" thickTop="1" thickBot="1" x14ac:dyDescent="0.35">
      <c r="A227" s="3" t="s">
        <v>700</v>
      </c>
      <c r="B227" s="4" t="s">
        <v>296</v>
      </c>
      <c r="C227" s="4">
        <v>-29</v>
      </c>
      <c r="D227" s="5" t="s">
        <v>38</v>
      </c>
      <c r="E227" s="5" t="s">
        <v>24</v>
      </c>
      <c r="F227" s="6">
        <f>177-32</f>
        <v>145</v>
      </c>
      <c r="G227" s="7">
        <v>276</v>
      </c>
      <c r="H227" s="8" t="s">
        <v>15</v>
      </c>
      <c r="I227" s="2">
        <v>1644</v>
      </c>
      <c r="J227" s="9" t="s">
        <v>32</v>
      </c>
      <c r="K227" s="4" t="s">
        <v>701</v>
      </c>
      <c r="L227" s="4" t="s">
        <v>298</v>
      </c>
      <c r="M227" s="2" t="s">
        <v>282</v>
      </c>
      <c r="N227" s="10">
        <v>44682</v>
      </c>
      <c r="O227" s="41"/>
      <c r="P227" s="5" t="s">
        <v>19</v>
      </c>
      <c r="Q227" s="10" t="s">
        <v>19</v>
      </c>
      <c r="R227" s="5" t="s">
        <v>20</v>
      </c>
      <c r="S227" s="2" t="str">
        <f>""</f>
        <v/>
      </c>
      <c r="T227" s="11" t="s">
        <v>20</v>
      </c>
    </row>
    <row r="228" spans="1:20" thickTop="1" thickBot="1" x14ac:dyDescent="0.35">
      <c r="A228" s="3" t="s">
        <v>702</v>
      </c>
      <c r="B228" s="4" t="s">
        <v>211</v>
      </c>
      <c r="C228" s="4">
        <v>1895</v>
      </c>
      <c r="D228" s="5" t="s">
        <v>38</v>
      </c>
      <c r="E228" s="5" t="s">
        <v>39</v>
      </c>
      <c r="F228" s="6">
        <f>152-150</f>
        <v>2</v>
      </c>
      <c r="G228" s="7">
        <v>37</v>
      </c>
      <c r="H228" s="8" t="s">
        <v>15</v>
      </c>
      <c r="I228" s="2">
        <v>1459</v>
      </c>
      <c r="J228" s="9" t="s">
        <v>32</v>
      </c>
      <c r="K228" s="4" t="s">
        <v>212</v>
      </c>
      <c r="L228" s="4" t="s">
        <v>213</v>
      </c>
      <c r="M228" s="4" t="str">
        <f>""</f>
        <v/>
      </c>
      <c r="N228" s="2" t="str">
        <f>""</f>
        <v/>
      </c>
      <c r="O228" s="42">
        <v>0</v>
      </c>
      <c r="P228" s="5" t="s">
        <v>20</v>
      </c>
      <c r="Q228" s="10" t="s">
        <v>19</v>
      </c>
      <c r="R228" s="5" t="s">
        <v>20</v>
      </c>
      <c r="S228" s="2" t="str">
        <f>""</f>
        <v/>
      </c>
      <c r="T228" s="11" t="s">
        <v>19</v>
      </c>
    </row>
    <row r="229" spans="1:20" thickTop="1" thickBot="1" x14ac:dyDescent="0.35">
      <c r="A229" s="3" t="s">
        <v>703</v>
      </c>
      <c r="B229" s="4" t="s">
        <v>704</v>
      </c>
      <c r="C229" s="4">
        <v>1782</v>
      </c>
      <c r="D229" s="5" t="s">
        <v>13</v>
      </c>
      <c r="E229" s="5" t="s">
        <v>39</v>
      </c>
      <c r="F229" s="6">
        <f>513-44</f>
        <v>469</v>
      </c>
      <c r="G229" s="7">
        <v>580</v>
      </c>
      <c r="H229" s="8" t="s">
        <v>57</v>
      </c>
      <c r="I229" s="2">
        <v>354</v>
      </c>
      <c r="J229" s="9" t="s">
        <v>69</v>
      </c>
      <c r="K229" s="4" t="s">
        <v>705</v>
      </c>
      <c r="L229" s="2" t="s">
        <v>706</v>
      </c>
      <c r="M229" s="2" t="str">
        <f>""</f>
        <v/>
      </c>
      <c r="N229" s="10">
        <v>44287</v>
      </c>
      <c r="O229" s="41">
        <v>4.8</v>
      </c>
      <c r="P229" s="5" t="s">
        <v>19</v>
      </c>
      <c r="Q229" s="10" t="s">
        <v>19</v>
      </c>
      <c r="R229" s="5" t="s">
        <v>20</v>
      </c>
      <c r="S229" s="5" t="str">
        <f>""</f>
        <v/>
      </c>
      <c r="T229" s="11" t="s">
        <v>20</v>
      </c>
    </row>
    <row r="230" spans="1:20" thickTop="1" thickBot="1" x14ac:dyDescent="0.35">
      <c r="A230" s="3" t="s">
        <v>707</v>
      </c>
      <c r="B230" s="4" t="s">
        <v>528</v>
      </c>
      <c r="C230" s="4">
        <v>1</v>
      </c>
      <c r="D230" s="5" t="s">
        <v>38</v>
      </c>
      <c r="E230" s="5" t="s">
        <v>24</v>
      </c>
      <c r="F230" s="6">
        <f>510-38</f>
        <v>472</v>
      </c>
      <c r="G230" s="7">
        <v>644</v>
      </c>
      <c r="H230" s="8" t="s">
        <v>15</v>
      </c>
      <c r="I230" s="2">
        <v>2404</v>
      </c>
      <c r="J230" s="9" t="s">
        <v>25</v>
      </c>
      <c r="K230" s="4" t="s">
        <v>708</v>
      </c>
      <c r="L230" s="4" t="s">
        <v>709</v>
      </c>
      <c r="M230" s="4" t="s">
        <v>710</v>
      </c>
      <c r="N230" s="10">
        <v>43777</v>
      </c>
      <c r="O230" s="41" t="s">
        <v>989</v>
      </c>
      <c r="P230" s="5" t="s">
        <v>19</v>
      </c>
      <c r="Q230" s="10" t="s">
        <v>19</v>
      </c>
      <c r="R230" s="5" t="s">
        <v>19</v>
      </c>
      <c r="S230" s="5" t="s">
        <v>20</v>
      </c>
      <c r="T230" s="11" t="s">
        <v>20</v>
      </c>
    </row>
    <row r="231" spans="1:20" thickTop="1" thickBot="1" x14ac:dyDescent="0.35">
      <c r="A231" s="3" t="s">
        <v>711</v>
      </c>
      <c r="B231" s="4" t="s">
        <v>148</v>
      </c>
      <c r="C231" s="4">
        <v>1861</v>
      </c>
      <c r="D231" s="5" t="s">
        <v>13</v>
      </c>
      <c r="E231" s="5" t="s">
        <v>39</v>
      </c>
      <c r="F231" s="6">
        <v>1232</v>
      </c>
      <c r="G231" s="7">
        <v>1348</v>
      </c>
      <c r="H231" s="8" t="s">
        <v>15</v>
      </c>
      <c r="I231" s="2">
        <v>6368</v>
      </c>
      <c r="J231" s="9" t="s">
        <v>25</v>
      </c>
      <c r="K231" s="4" t="s">
        <v>712</v>
      </c>
      <c r="L231" s="4" t="s">
        <v>713</v>
      </c>
      <c r="M231" s="2" t="str">
        <f>""</f>
        <v/>
      </c>
      <c r="N231" s="10">
        <v>44775</v>
      </c>
      <c r="O231" s="41">
        <v>13.9</v>
      </c>
      <c r="P231" s="5" t="s">
        <v>19</v>
      </c>
      <c r="Q231" s="10" t="s">
        <v>19</v>
      </c>
      <c r="R231" s="5" t="s">
        <v>19</v>
      </c>
      <c r="S231" s="2" t="s">
        <v>19</v>
      </c>
      <c r="T231" s="11" t="s">
        <v>20</v>
      </c>
    </row>
    <row r="232" spans="1:20" thickTop="1" thickBot="1" x14ac:dyDescent="0.35">
      <c r="A232" s="3" t="s">
        <v>1016</v>
      </c>
      <c r="B232" s="4" t="s">
        <v>272</v>
      </c>
      <c r="C232" s="4">
        <v>1860</v>
      </c>
      <c r="D232" s="5" t="s">
        <v>38</v>
      </c>
      <c r="E232" s="5" t="s">
        <v>39</v>
      </c>
      <c r="F232" s="6">
        <f>270-2</f>
        <v>268</v>
      </c>
      <c r="G232" s="7">
        <v>324</v>
      </c>
      <c r="H232" s="8" t="s">
        <v>57</v>
      </c>
      <c r="I232" s="2">
        <v>1326</v>
      </c>
      <c r="J232" s="9" t="s">
        <v>69</v>
      </c>
      <c r="K232" s="4" t="s">
        <v>1017</v>
      </c>
      <c r="L232" s="4" t="s">
        <v>213</v>
      </c>
      <c r="M232" s="2"/>
      <c r="N232" s="13">
        <v>44256</v>
      </c>
      <c r="O232" s="41">
        <v>3.1</v>
      </c>
      <c r="P232" s="5" t="s">
        <v>19</v>
      </c>
      <c r="Q232" s="5" t="s">
        <v>19</v>
      </c>
      <c r="R232" s="5" t="s">
        <v>20</v>
      </c>
      <c r="S232" s="16"/>
      <c r="T232" s="11" t="s">
        <v>20</v>
      </c>
    </row>
    <row r="233" spans="1:20" thickTop="1" thickBot="1" x14ac:dyDescent="0.35">
      <c r="A233" s="3" t="s">
        <v>714</v>
      </c>
      <c r="B233" s="4" t="s">
        <v>22</v>
      </c>
      <c r="C233" s="4">
        <v>65</v>
      </c>
      <c r="D233" s="5" t="s">
        <v>23</v>
      </c>
      <c r="E233" s="5" t="s">
        <v>24</v>
      </c>
      <c r="F233" s="6">
        <f>186-148</f>
        <v>38</v>
      </c>
      <c r="G233" s="7">
        <v>111</v>
      </c>
      <c r="H233" s="8" t="s">
        <v>15</v>
      </c>
      <c r="I233" s="2">
        <v>7143</v>
      </c>
      <c r="J233" s="9" t="s">
        <v>25</v>
      </c>
      <c r="K233" s="4" t="s">
        <v>26</v>
      </c>
      <c r="L233" s="2" t="s">
        <v>27</v>
      </c>
      <c r="M233" s="2" t="s">
        <v>27</v>
      </c>
      <c r="N233" s="15">
        <v>44867</v>
      </c>
      <c r="O233" s="42">
        <v>0</v>
      </c>
      <c r="P233" s="5" t="s">
        <v>20</v>
      </c>
      <c r="Q233" s="10" t="s">
        <v>19</v>
      </c>
      <c r="R233" s="5" t="s">
        <v>19</v>
      </c>
      <c r="S233" s="2" t="s">
        <v>20</v>
      </c>
      <c r="T233" s="11" t="s">
        <v>20</v>
      </c>
    </row>
    <row r="234" spans="1:20" thickTop="1" thickBot="1" x14ac:dyDescent="0.35">
      <c r="A234" s="3" t="s">
        <v>715</v>
      </c>
      <c r="B234" s="4" t="s">
        <v>200</v>
      </c>
      <c r="C234" s="4">
        <v>-350</v>
      </c>
      <c r="D234" s="5" t="s">
        <v>30</v>
      </c>
      <c r="E234" s="5" t="s">
        <v>75</v>
      </c>
      <c r="F234" s="6">
        <f>548-100</f>
        <v>448</v>
      </c>
      <c r="G234" s="7">
        <v>594</v>
      </c>
      <c r="H234" s="8" t="s">
        <v>15</v>
      </c>
      <c r="I234" s="2">
        <v>490</v>
      </c>
      <c r="J234" s="9" t="s">
        <v>32</v>
      </c>
      <c r="K234" s="4" t="s">
        <v>716</v>
      </c>
      <c r="L234" s="4" t="s">
        <v>383</v>
      </c>
      <c r="M234" s="4" t="s">
        <v>383</v>
      </c>
      <c r="N234" s="5" t="str">
        <f>""</f>
        <v/>
      </c>
      <c r="O234" s="41">
        <v>11</v>
      </c>
      <c r="P234" s="5" t="s">
        <v>19</v>
      </c>
      <c r="Q234" s="10" t="s">
        <v>19</v>
      </c>
      <c r="R234" s="5" t="s">
        <v>20</v>
      </c>
      <c r="S234" s="5" t="str">
        <f>""</f>
        <v/>
      </c>
      <c r="T234" s="11" t="s">
        <v>20</v>
      </c>
    </row>
    <row r="235" spans="1:20" thickTop="1" thickBot="1" x14ac:dyDescent="0.35">
      <c r="A235" s="3" t="s">
        <v>1116</v>
      </c>
      <c r="B235" s="4" t="s">
        <v>1117</v>
      </c>
      <c r="C235" s="4">
        <v>2004</v>
      </c>
      <c r="D235" s="5" t="s">
        <v>1037</v>
      </c>
      <c r="E235" s="5" t="s">
        <v>39</v>
      </c>
      <c r="F235" s="6">
        <f>46</f>
        <v>46</v>
      </c>
      <c r="G235" s="7">
        <v>54</v>
      </c>
      <c r="H235" s="8" t="s">
        <v>1118</v>
      </c>
      <c r="K235" s="4" t="s">
        <v>1119</v>
      </c>
      <c r="L235" s="2"/>
      <c r="M235" s="2"/>
      <c r="N235" s="2"/>
      <c r="O235" s="42">
        <v>10.5</v>
      </c>
      <c r="P235" s="5" t="s">
        <v>19</v>
      </c>
      <c r="Q235" s="5" t="s">
        <v>19</v>
      </c>
      <c r="R235" s="5" t="s">
        <v>19</v>
      </c>
      <c r="S235" s="43" t="s">
        <v>20</v>
      </c>
      <c r="T235" s="11" t="s">
        <v>20</v>
      </c>
    </row>
    <row r="236" spans="1:20" thickTop="1" thickBot="1" x14ac:dyDescent="0.35">
      <c r="A236" s="3" t="s">
        <v>1164</v>
      </c>
      <c r="B236" s="4" t="s">
        <v>1117</v>
      </c>
      <c r="C236" s="4">
        <v>2014</v>
      </c>
      <c r="D236" s="5" t="s">
        <v>1037</v>
      </c>
      <c r="E236" s="5" t="s">
        <v>39</v>
      </c>
      <c r="F236" s="6">
        <v>47</v>
      </c>
      <c r="G236" s="7">
        <v>54</v>
      </c>
      <c r="H236" s="8" t="s">
        <v>1118</v>
      </c>
      <c r="K236" s="4" t="s">
        <v>1165</v>
      </c>
      <c r="M236" s="2"/>
      <c r="O236" s="41">
        <v>10.5</v>
      </c>
      <c r="P236" s="5" t="s">
        <v>19</v>
      </c>
      <c r="Q236" s="5" t="s">
        <v>19</v>
      </c>
      <c r="R236" s="5" t="s">
        <v>19</v>
      </c>
      <c r="S236" s="43" t="s">
        <v>20</v>
      </c>
      <c r="T236" s="11" t="s">
        <v>19</v>
      </c>
    </row>
    <row r="237" spans="1:20" thickTop="1" thickBot="1" x14ac:dyDescent="0.35">
      <c r="A237" s="3" t="s">
        <v>1120</v>
      </c>
      <c r="B237" s="4" t="s">
        <v>1117</v>
      </c>
      <c r="C237" s="4">
        <v>2004</v>
      </c>
      <c r="D237" s="5" t="s">
        <v>1037</v>
      </c>
      <c r="E237" s="5" t="s">
        <v>39</v>
      </c>
      <c r="F237" s="6">
        <v>47</v>
      </c>
      <c r="G237" s="7">
        <v>54</v>
      </c>
      <c r="H237" s="8" t="s">
        <v>1118</v>
      </c>
      <c r="K237" s="4" t="s">
        <v>1121</v>
      </c>
      <c r="M237" s="2"/>
      <c r="O237" s="41">
        <v>10.5</v>
      </c>
      <c r="P237" s="5" t="s">
        <v>19</v>
      </c>
      <c r="Q237" s="5" t="s">
        <v>19</v>
      </c>
      <c r="R237" s="5" t="s">
        <v>19</v>
      </c>
      <c r="S237" s="16" t="s">
        <v>20</v>
      </c>
      <c r="T237" s="11" t="s">
        <v>20</v>
      </c>
    </row>
    <row r="238" spans="1:20" thickTop="1" thickBot="1" x14ac:dyDescent="0.35">
      <c r="A238" s="3" t="s">
        <v>1128</v>
      </c>
      <c r="B238" s="4" t="s">
        <v>1117</v>
      </c>
      <c r="C238" s="4">
        <v>2005</v>
      </c>
      <c r="D238" s="5" t="s">
        <v>1037</v>
      </c>
      <c r="E238" s="5" t="s">
        <v>39</v>
      </c>
      <c r="F238" s="6">
        <v>47</v>
      </c>
      <c r="G238" s="7">
        <v>54</v>
      </c>
      <c r="H238" s="8" t="s">
        <v>1118</v>
      </c>
      <c r="K238" s="4" t="s">
        <v>1129</v>
      </c>
      <c r="M238" s="2"/>
      <c r="O238" s="41">
        <v>10.5</v>
      </c>
      <c r="P238" s="5" t="s">
        <v>19</v>
      </c>
      <c r="Q238" s="5" t="s">
        <v>19</v>
      </c>
      <c r="R238" s="5" t="s">
        <v>19</v>
      </c>
      <c r="S238" s="16" t="s">
        <v>20</v>
      </c>
      <c r="T238" s="11" t="s">
        <v>19</v>
      </c>
    </row>
    <row r="239" spans="1:20" thickTop="1" thickBot="1" x14ac:dyDescent="0.35">
      <c r="A239" s="3" t="s">
        <v>717</v>
      </c>
      <c r="B239" s="4" t="s">
        <v>642</v>
      </c>
      <c r="C239" s="4">
        <v>1558</v>
      </c>
      <c r="D239" s="5" t="s">
        <v>38</v>
      </c>
      <c r="E239" s="5" t="s">
        <v>39</v>
      </c>
      <c r="F239" s="6">
        <f>155-50</f>
        <v>105</v>
      </c>
      <c r="G239" s="7">
        <v>129</v>
      </c>
      <c r="H239" s="8" t="s">
        <v>57</v>
      </c>
      <c r="I239" s="2">
        <v>16107</v>
      </c>
      <c r="J239" s="9" t="s">
        <v>69</v>
      </c>
      <c r="K239" s="4" t="s">
        <v>643</v>
      </c>
      <c r="L239" s="4" t="s">
        <v>644</v>
      </c>
      <c r="M239" s="4" t="str">
        <f>""</f>
        <v/>
      </c>
      <c r="N239" s="10">
        <v>44409</v>
      </c>
      <c r="O239" s="41"/>
      <c r="P239" s="5" t="s">
        <v>19</v>
      </c>
      <c r="Q239" s="10" t="s">
        <v>19</v>
      </c>
      <c r="R239" s="5" t="s">
        <v>20</v>
      </c>
      <c r="S239" s="5" t="str">
        <f>""</f>
        <v/>
      </c>
      <c r="T239" s="11" t="s">
        <v>20</v>
      </c>
    </row>
    <row r="240" spans="1:20" thickTop="1" thickBot="1" x14ac:dyDescent="0.35">
      <c r="A240" s="3" t="s">
        <v>718</v>
      </c>
      <c r="B240" s="4" t="s">
        <v>242</v>
      </c>
      <c r="C240" s="4">
        <v>1778</v>
      </c>
      <c r="D240" s="5" t="s">
        <v>30</v>
      </c>
      <c r="E240" s="5" t="s">
        <v>39</v>
      </c>
      <c r="F240" s="6">
        <f>171-32</f>
        <v>139</v>
      </c>
      <c r="G240" s="7">
        <v>244</v>
      </c>
      <c r="H240" s="8" t="s">
        <v>15</v>
      </c>
      <c r="I240" s="2">
        <v>1296</v>
      </c>
      <c r="J240" s="9" t="s">
        <v>32</v>
      </c>
      <c r="K240" s="4" t="s">
        <v>719</v>
      </c>
      <c r="L240" s="4" t="s">
        <v>720</v>
      </c>
      <c r="M240" s="2" t="str">
        <f>""</f>
        <v/>
      </c>
      <c r="N240" s="5" t="str">
        <f>""</f>
        <v/>
      </c>
      <c r="O240" s="41">
        <v>2.9</v>
      </c>
      <c r="P240" s="5" t="s">
        <v>19</v>
      </c>
      <c r="Q240" s="10" t="s">
        <v>19</v>
      </c>
      <c r="R240" s="5" t="s">
        <v>20</v>
      </c>
      <c r="S240" s="5" t="str">
        <f>""</f>
        <v/>
      </c>
      <c r="T240" s="11" t="s">
        <v>20</v>
      </c>
    </row>
    <row r="241" spans="1:20" thickTop="1" thickBot="1" x14ac:dyDescent="0.35">
      <c r="A241" s="3" t="s">
        <v>721</v>
      </c>
      <c r="B241" s="4" t="s">
        <v>305</v>
      </c>
      <c r="C241" s="4">
        <v>1716</v>
      </c>
      <c r="D241" s="5" t="s">
        <v>38</v>
      </c>
      <c r="E241" s="5" t="s">
        <v>39</v>
      </c>
      <c r="F241" s="6">
        <f>163-56</f>
        <v>107</v>
      </c>
      <c r="G241" s="7">
        <v>118</v>
      </c>
      <c r="H241" s="8" t="s">
        <v>131</v>
      </c>
      <c r="I241" s="2">
        <v>195</v>
      </c>
      <c r="J241" s="9" t="s">
        <v>38</v>
      </c>
      <c r="K241" s="4" t="s">
        <v>306</v>
      </c>
      <c r="L241" s="4" t="s">
        <v>307</v>
      </c>
      <c r="M241" s="4" t="str">
        <f>""</f>
        <v/>
      </c>
      <c r="N241" s="15">
        <v>44237</v>
      </c>
      <c r="O241" s="42">
        <v>0</v>
      </c>
      <c r="P241" s="5" t="s">
        <v>20</v>
      </c>
      <c r="Q241" s="10" t="s">
        <v>19</v>
      </c>
      <c r="R241" s="5" t="s">
        <v>20</v>
      </c>
      <c r="S241" s="5" t="str">
        <f>""</f>
        <v/>
      </c>
      <c r="T241" s="11" t="s">
        <v>20</v>
      </c>
    </row>
    <row r="242" spans="1:20" thickTop="1" thickBot="1" x14ac:dyDescent="0.35">
      <c r="A242" s="3" t="s">
        <v>1154</v>
      </c>
      <c r="B242" s="4" t="s">
        <v>1145</v>
      </c>
      <c r="C242" s="4">
        <v>2010</v>
      </c>
      <c r="D242" s="5" t="s">
        <v>1037</v>
      </c>
      <c r="E242" s="5" t="s">
        <v>46</v>
      </c>
      <c r="F242" s="6">
        <v>45</v>
      </c>
      <c r="G242" s="7">
        <v>54</v>
      </c>
      <c r="H242" s="8" t="s">
        <v>1146</v>
      </c>
      <c r="K242" s="4" t="s">
        <v>1155</v>
      </c>
      <c r="O242" s="41">
        <v>9.9499999999999993</v>
      </c>
      <c r="P242" s="5" t="s">
        <v>19</v>
      </c>
      <c r="Q242" s="5" t="s">
        <v>19</v>
      </c>
      <c r="R242" s="5" t="s">
        <v>19</v>
      </c>
      <c r="S242" s="16" t="s">
        <v>20</v>
      </c>
      <c r="T242" s="11" t="s">
        <v>20</v>
      </c>
    </row>
    <row r="243" spans="1:20" thickTop="1" thickBot="1" x14ac:dyDescent="0.35">
      <c r="A243" s="3" t="s">
        <v>1144</v>
      </c>
      <c r="B243" s="4" t="s">
        <v>1145</v>
      </c>
      <c r="C243" s="4">
        <v>2009</v>
      </c>
      <c r="D243" s="5" t="s">
        <v>1037</v>
      </c>
      <c r="E243" s="5" t="s">
        <v>46</v>
      </c>
      <c r="F243" s="6">
        <v>48</v>
      </c>
      <c r="G243" s="7">
        <v>54</v>
      </c>
      <c r="H243" s="8" t="s">
        <v>1146</v>
      </c>
      <c r="K243" s="4" t="s">
        <v>1147</v>
      </c>
      <c r="N243" s="13">
        <v>40664</v>
      </c>
      <c r="O243" s="41">
        <v>9.9499999999999993</v>
      </c>
      <c r="P243" s="5" t="s">
        <v>19</v>
      </c>
      <c r="Q243" s="5" t="s">
        <v>19</v>
      </c>
      <c r="R243" s="5" t="s">
        <v>19</v>
      </c>
      <c r="S243" s="43" t="s">
        <v>20</v>
      </c>
      <c r="T243" s="11" t="s">
        <v>20</v>
      </c>
    </row>
    <row r="244" spans="1:20" thickTop="1" thickBot="1" x14ac:dyDescent="0.35">
      <c r="A244" s="3" t="s">
        <v>722</v>
      </c>
      <c r="B244" s="4" t="s">
        <v>112</v>
      </c>
      <c r="C244" s="4">
        <v>-600</v>
      </c>
      <c r="D244" s="5" t="s">
        <v>38</v>
      </c>
      <c r="E244" s="5" t="s">
        <v>75</v>
      </c>
      <c r="F244" s="6">
        <f>144-94</f>
        <v>50</v>
      </c>
      <c r="G244" s="7">
        <v>106</v>
      </c>
      <c r="H244" s="8" t="s">
        <v>15</v>
      </c>
      <c r="I244" s="2">
        <v>3467</v>
      </c>
      <c r="J244" s="9" t="s">
        <v>25</v>
      </c>
      <c r="K244" s="4" t="s">
        <v>113</v>
      </c>
      <c r="L244" s="2" t="s">
        <v>114</v>
      </c>
      <c r="M244" s="2" t="s">
        <v>114</v>
      </c>
      <c r="N244" s="10">
        <v>44152</v>
      </c>
      <c r="O244" s="41">
        <v>0</v>
      </c>
      <c r="P244" s="5" t="s">
        <v>20</v>
      </c>
      <c r="Q244" s="10" t="s">
        <v>19</v>
      </c>
      <c r="R244" s="5" t="s">
        <v>20</v>
      </c>
      <c r="S244" s="2" t="str">
        <f>""</f>
        <v/>
      </c>
      <c r="T244" s="11" t="s">
        <v>20</v>
      </c>
    </row>
    <row r="245" spans="1:20" thickTop="1" thickBot="1" x14ac:dyDescent="0.35">
      <c r="A245" s="3" t="s">
        <v>723</v>
      </c>
      <c r="B245" s="4" t="s">
        <v>565</v>
      </c>
      <c r="C245" s="4">
        <v>1844</v>
      </c>
      <c r="D245" s="5" t="s">
        <v>13</v>
      </c>
      <c r="E245" s="5" t="s">
        <v>39</v>
      </c>
      <c r="F245" s="6">
        <f>989-14</f>
        <v>975</v>
      </c>
      <c r="G245" s="7">
        <v>1108</v>
      </c>
      <c r="H245" s="8" t="s">
        <v>15</v>
      </c>
      <c r="I245" s="2">
        <v>3511</v>
      </c>
      <c r="J245" s="2" t="s">
        <v>25</v>
      </c>
      <c r="K245" s="4" t="s">
        <v>724</v>
      </c>
      <c r="L245" s="2" t="s">
        <v>725</v>
      </c>
      <c r="M245" s="4" t="str">
        <f>""</f>
        <v/>
      </c>
      <c r="N245" s="10">
        <v>44278</v>
      </c>
      <c r="O245" s="41"/>
      <c r="P245" s="5" t="s">
        <v>19</v>
      </c>
      <c r="Q245" s="10" t="s">
        <v>19</v>
      </c>
      <c r="R245" s="5" t="s">
        <v>20</v>
      </c>
      <c r="S245" s="5" t="str">
        <f>""</f>
        <v/>
      </c>
      <c r="T245" s="11" t="s">
        <v>20</v>
      </c>
    </row>
    <row r="246" spans="1:20" thickTop="1" thickBot="1" x14ac:dyDescent="0.35">
      <c r="A246" s="3" t="s">
        <v>726</v>
      </c>
      <c r="B246" s="4" t="s">
        <v>22</v>
      </c>
      <c r="C246" s="4">
        <v>43</v>
      </c>
      <c r="D246" s="5" t="s">
        <v>23</v>
      </c>
      <c r="E246" s="5" t="s">
        <v>24</v>
      </c>
      <c r="F246" s="6">
        <f>695-626</f>
        <v>69</v>
      </c>
      <c r="G246" s="7">
        <v>111</v>
      </c>
      <c r="H246" s="8" t="s">
        <v>15</v>
      </c>
      <c r="I246" s="2">
        <v>7143</v>
      </c>
      <c r="J246" s="9" t="s">
        <v>25</v>
      </c>
      <c r="K246" s="4" t="s">
        <v>26</v>
      </c>
      <c r="L246" s="4" t="s">
        <v>27</v>
      </c>
      <c r="M246" s="2" t="s">
        <v>27</v>
      </c>
      <c r="N246" s="10">
        <v>44867</v>
      </c>
      <c r="O246" s="41">
        <v>0</v>
      </c>
      <c r="P246" s="5" t="s">
        <v>20</v>
      </c>
      <c r="Q246" s="10" t="s">
        <v>19</v>
      </c>
      <c r="R246" s="5" t="s">
        <v>19</v>
      </c>
      <c r="S246" s="5" t="s">
        <v>19</v>
      </c>
      <c r="T246" s="11" t="s">
        <v>19</v>
      </c>
    </row>
    <row r="247" spans="1:20" thickTop="1" thickBot="1" x14ac:dyDescent="0.35">
      <c r="A247" s="3" t="s">
        <v>727</v>
      </c>
      <c r="B247" s="4" t="s">
        <v>728</v>
      </c>
      <c r="C247" s="4">
        <v>1924</v>
      </c>
      <c r="D247" s="5" t="s">
        <v>38</v>
      </c>
      <c r="E247" s="5" t="s">
        <v>252</v>
      </c>
      <c r="F247" s="6">
        <f>311-96</f>
        <v>215</v>
      </c>
      <c r="G247" s="7">
        <f>340/2</f>
        <v>170</v>
      </c>
      <c r="H247" s="8" t="s">
        <v>131</v>
      </c>
      <c r="I247" s="2">
        <v>320</v>
      </c>
      <c r="J247" s="9" t="s">
        <v>38</v>
      </c>
      <c r="K247" s="4" t="s">
        <v>729</v>
      </c>
      <c r="L247" s="2" t="str">
        <f>""</f>
        <v/>
      </c>
      <c r="M247" s="4" t="s">
        <v>730</v>
      </c>
      <c r="N247" s="10">
        <v>44461</v>
      </c>
      <c r="O247" s="41" t="s">
        <v>1005</v>
      </c>
      <c r="P247" s="5" t="s">
        <v>19</v>
      </c>
      <c r="Q247" s="10" t="s">
        <v>19</v>
      </c>
      <c r="R247" s="5" t="s">
        <v>19</v>
      </c>
      <c r="S247" s="2" t="s">
        <v>19</v>
      </c>
      <c r="T247" s="11" t="s">
        <v>20</v>
      </c>
    </row>
    <row r="248" spans="1:20" thickTop="1" thickBot="1" x14ac:dyDescent="0.35">
      <c r="A248" s="3" t="s">
        <v>731</v>
      </c>
      <c r="B248" s="4" t="s">
        <v>732</v>
      </c>
      <c r="C248" s="4">
        <v>1721</v>
      </c>
      <c r="D248" s="5" t="s">
        <v>13</v>
      </c>
      <c r="E248" s="5" t="s">
        <v>733</v>
      </c>
      <c r="F248" s="6">
        <f>387-60</f>
        <v>327</v>
      </c>
      <c r="G248" s="7">
        <v>434</v>
      </c>
      <c r="H248" s="8" t="s">
        <v>15</v>
      </c>
      <c r="I248" s="2">
        <v>969</v>
      </c>
      <c r="J248" s="9" t="s">
        <v>32</v>
      </c>
      <c r="K248" s="4" t="s">
        <v>734</v>
      </c>
      <c r="L248" s="2" t="s">
        <v>735</v>
      </c>
      <c r="M248" s="2" t="s">
        <v>736</v>
      </c>
      <c r="N248" s="5" t="str">
        <f>""</f>
        <v/>
      </c>
      <c r="O248" s="41">
        <v>8.3000000000000007</v>
      </c>
      <c r="P248" s="5" t="s">
        <v>19</v>
      </c>
      <c r="Q248" s="10" t="s">
        <v>19</v>
      </c>
      <c r="R248" s="5" t="s">
        <v>20</v>
      </c>
      <c r="S248" s="2" t="str">
        <f>""</f>
        <v/>
      </c>
      <c r="T248" s="11" t="s">
        <v>20</v>
      </c>
    </row>
    <row r="249" spans="1:20" thickTop="1" thickBot="1" x14ac:dyDescent="0.35">
      <c r="A249" s="3" t="s">
        <v>737</v>
      </c>
      <c r="B249" s="4" t="s">
        <v>497</v>
      </c>
      <c r="C249" s="4">
        <v>1936</v>
      </c>
      <c r="D249" s="5" t="s">
        <v>38</v>
      </c>
      <c r="E249" s="5" t="s">
        <v>39</v>
      </c>
      <c r="F249" s="6">
        <f>244-184</f>
        <v>60</v>
      </c>
      <c r="G249" s="7">
        <v>86</v>
      </c>
      <c r="H249" s="8" t="s">
        <v>131</v>
      </c>
      <c r="I249" s="2">
        <v>18</v>
      </c>
      <c r="J249" s="9" t="s">
        <v>38</v>
      </c>
      <c r="K249" s="4" t="s">
        <v>498</v>
      </c>
      <c r="L249" s="4" t="str">
        <f>""</f>
        <v/>
      </c>
      <c r="M249" s="2" t="str">
        <f>""</f>
        <v/>
      </c>
      <c r="N249" s="10">
        <v>44661</v>
      </c>
      <c r="O249" s="41">
        <v>0</v>
      </c>
      <c r="P249" s="5" t="s">
        <v>20</v>
      </c>
      <c r="Q249" s="10" t="s">
        <v>19</v>
      </c>
      <c r="R249" s="5" t="s">
        <v>20</v>
      </c>
      <c r="S249" s="2" t="str">
        <f>""</f>
        <v/>
      </c>
      <c r="T249" s="11" t="s">
        <v>20</v>
      </c>
    </row>
    <row r="250" spans="1:20" thickTop="1" thickBot="1" x14ac:dyDescent="0.35">
      <c r="A250" s="3" t="s">
        <v>738</v>
      </c>
      <c r="B250" s="4" t="s">
        <v>739</v>
      </c>
      <c r="C250" s="4">
        <v>1677</v>
      </c>
      <c r="D250" s="5" t="s">
        <v>30</v>
      </c>
      <c r="E250" s="5" t="s">
        <v>740</v>
      </c>
      <c r="F250" s="6">
        <f>388-60</f>
        <v>328</v>
      </c>
      <c r="G250" s="7">
        <v>406</v>
      </c>
      <c r="H250" s="8" t="s">
        <v>15</v>
      </c>
      <c r="I250" s="2">
        <v>235</v>
      </c>
      <c r="J250" s="9" t="s">
        <v>741</v>
      </c>
      <c r="K250" s="4" t="s">
        <v>742</v>
      </c>
      <c r="L250" s="4" t="s">
        <v>743</v>
      </c>
      <c r="M250" s="2" t="s">
        <v>743</v>
      </c>
      <c r="N250" s="10">
        <v>44363</v>
      </c>
      <c r="O250" s="41"/>
      <c r="P250" s="5" t="s">
        <v>19</v>
      </c>
      <c r="Q250" s="10" t="s">
        <v>19</v>
      </c>
      <c r="R250" s="5" t="s">
        <v>20</v>
      </c>
      <c r="S250" s="2" t="str">
        <f>""</f>
        <v/>
      </c>
      <c r="T250" s="11" t="s">
        <v>19</v>
      </c>
    </row>
    <row r="251" spans="1:20" thickTop="1" thickBot="1" x14ac:dyDescent="0.35">
      <c r="A251" s="3" t="s">
        <v>744</v>
      </c>
      <c r="B251" s="4" t="s">
        <v>745</v>
      </c>
      <c r="C251" s="4">
        <v>1942</v>
      </c>
      <c r="D251" s="5" t="s">
        <v>13</v>
      </c>
      <c r="E251" s="5" t="s">
        <v>39</v>
      </c>
      <c r="F251" s="6">
        <f>184-4</f>
        <v>180</v>
      </c>
      <c r="G251" s="7">
        <v>196</v>
      </c>
      <c r="H251" s="8" t="s">
        <v>15</v>
      </c>
      <c r="I251" s="2">
        <v>2</v>
      </c>
      <c r="J251" s="9" t="s">
        <v>16</v>
      </c>
      <c r="K251" s="4" t="s">
        <v>746</v>
      </c>
      <c r="L251" s="4" t="str">
        <f>""</f>
        <v/>
      </c>
      <c r="M251" s="4" t="str">
        <f>""</f>
        <v/>
      </c>
      <c r="N251" s="15">
        <v>44012</v>
      </c>
      <c r="O251" s="42" t="s">
        <v>1026</v>
      </c>
      <c r="P251" s="5" t="s">
        <v>19</v>
      </c>
      <c r="Q251" s="10" t="s">
        <v>19</v>
      </c>
      <c r="R251" s="5" t="s">
        <v>19</v>
      </c>
      <c r="S251" s="2" t="s">
        <v>20</v>
      </c>
      <c r="T251" s="11" t="s">
        <v>20</v>
      </c>
    </row>
    <row r="252" spans="1:20" thickTop="1" thickBot="1" x14ac:dyDescent="0.35">
      <c r="A252" s="3" t="s">
        <v>747</v>
      </c>
      <c r="B252" s="4" t="s">
        <v>748</v>
      </c>
      <c r="C252" s="4">
        <v>260</v>
      </c>
      <c r="D252" s="5" t="s">
        <v>30</v>
      </c>
      <c r="E252" s="5" t="s">
        <v>75</v>
      </c>
      <c r="F252" s="6">
        <f>166-144</f>
        <v>22</v>
      </c>
      <c r="G252" s="7">
        <f>260/2</f>
        <v>130</v>
      </c>
      <c r="H252" s="8" t="s">
        <v>15</v>
      </c>
      <c r="I252" s="2">
        <v>1651</v>
      </c>
      <c r="J252" s="9" t="s">
        <v>32</v>
      </c>
      <c r="K252" s="4" t="s">
        <v>749</v>
      </c>
      <c r="L252" s="4" t="s">
        <v>750</v>
      </c>
      <c r="M252" s="2" t="s">
        <v>750</v>
      </c>
      <c r="N252" s="5" t="str">
        <f>""</f>
        <v/>
      </c>
      <c r="O252" s="41">
        <v>13</v>
      </c>
      <c r="P252" s="5" t="s">
        <v>19</v>
      </c>
      <c r="Q252" s="10" t="s">
        <v>19</v>
      </c>
      <c r="R252" s="5" t="s">
        <v>19</v>
      </c>
      <c r="S252" s="5" t="s">
        <v>20</v>
      </c>
      <c r="T252" s="11" t="s">
        <v>20</v>
      </c>
    </row>
    <row r="253" spans="1:20" thickTop="1" thickBot="1" x14ac:dyDescent="0.35">
      <c r="A253" s="3" t="s">
        <v>751</v>
      </c>
      <c r="B253" s="4" t="s">
        <v>752</v>
      </c>
      <c r="C253" s="4">
        <v>-296</v>
      </c>
      <c r="D253" s="5" t="s">
        <v>30</v>
      </c>
      <c r="E253" s="5" t="s">
        <v>75</v>
      </c>
      <c r="F253" s="6">
        <f>72-40</f>
        <v>32</v>
      </c>
      <c r="G253" s="7">
        <v>116</v>
      </c>
      <c r="H253" s="8" t="s">
        <v>15</v>
      </c>
      <c r="I253" s="2">
        <v>1274</v>
      </c>
      <c r="J253" s="9" t="s">
        <v>32</v>
      </c>
      <c r="K253" s="4" t="s">
        <v>753</v>
      </c>
      <c r="L253" s="4" t="s">
        <v>754</v>
      </c>
      <c r="M253" s="4" t="s">
        <v>754</v>
      </c>
      <c r="N253" s="5" t="str">
        <f>""</f>
        <v/>
      </c>
      <c r="O253" s="41">
        <v>2.8</v>
      </c>
      <c r="P253" s="5" t="s">
        <v>19</v>
      </c>
      <c r="Q253" s="10" t="s">
        <v>19</v>
      </c>
      <c r="R253" s="5" t="s">
        <v>19</v>
      </c>
      <c r="S253" s="2" t="s">
        <v>19</v>
      </c>
      <c r="T253" s="11" t="s">
        <v>20</v>
      </c>
    </row>
    <row r="254" spans="1:20" thickTop="1" thickBot="1" x14ac:dyDescent="0.35">
      <c r="A254" s="3" t="s">
        <v>755</v>
      </c>
      <c r="B254" s="4" t="s">
        <v>280</v>
      </c>
      <c r="C254" s="4">
        <v>1509</v>
      </c>
      <c r="D254" s="5" t="s">
        <v>30</v>
      </c>
      <c r="E254" s="5" t="s">
        <v>24</v>
      </c>
      <c r="F254" s="6">
        <f>126-94</f>
        <v>32</v>
      </c>
      <c r="G254" s="7">
        <f>194/2</f>
        <v>97</v>
      </c>
      <c r="H254" s="8" t="s">
        <v>15</v>
      </c>
      <c r="I254" s="2">
        <v>36</v>
      </c>
      <c r="J254" s="9" t="s">
        <v>32</v>
      </c>
      <c r="K254" s="4" t="s">
        <v>281</v>
      </c>
      <c r="L254" s="4" t="s">
        <v>282</v>
      </c>
      <c r="M254" s="4" t="s">
        <v>283</v>
      </c>
      <c r="N254" s="5" t="str">
        <f>""</f>
        <v/>
      </c>
      <c r="O254" s="41">
        <v>0</v>
      </c>
      <c r="P254" s="5" t="s">
        <v>19</v>
      </c>
      <c r="Q254" s="10" t="s">
        <v>19</v>
      </c>
      <c r="R254" s="5" t="s">
        <v>19</v>
      </c>
      <c r="S254" s="5" t="s">
        <v>19</v>
      </c>
      <c r="T254" s="11" t="s">
        <v>20</v>
      </c>
    </row>
    <row r="255" spans="1:20" thickTop="1" thickBot="1" x14ac:dyDescent="0.35">
      <c r="A255" s="3" t="s">
        <v>756</v>
      </c>
      <c r="B255" s="4" t="s">
        <v>757</v>
      </c>
      <c r="C255" s="4">
        <v>1869</v>
      </c>
      <c r="D255" s="5" t="s">
        <v>161</v>
      </c>
      <c r="E255" s="5" t="s">
        <v>39</v>
      </c>
      <c r="F255" s="6">
        <f>316-32</f>
        <v>284</v>
      </c>
      <c r="G255" s="7">
        <v>372</v>
      </c>
      <c r="H255" s="8" t="s">
        <v>15</v>
      </c>
      <c r="I255" s="2">
        <v>3239</v>
      </c>
      <c r="J255" s="9" t="s">
        <v>25</v>
      </c>
      <c r="K255" s="4" t="s">
        <v>758</v>
      </c>
      <c r="L255" s="4" t="s">
        <v>759</v>
      </c>
      <c r="M255" s="4" t="str">
        <f>""</f>
        <v/>
      </c>
      <c r="N255" s="15">
        <v>44942</v>
      </c>
      <c r="O255" s="42" t="s">
        <v>1023</v>
      </c>
      <c r="P255" s="5" t="s">
        <v>19</v>
      </c>
      <c r="Q255" s="10" t="s">
        <v>19</v>
      </c>
      <c r="R255" s="5" t="s">
        <v>19</v>
      </c>
      <c r="S255" s="2" t="s">
        <v>20</v>
      </c>
      <c r="T255" s="11" t="s">
        <v>19</v>
      </c>
    </row>
    <row r="256" spans="1:20" thickTop="1" thickBot="1" x14ac:dyDescent="0.35">
      <c r="A256" s="3" t="s">
        <v>760</v>
      </c>
      <c r="B256" s="4" t="s">
        <v>761</v>
      </c>
      <c r="C256" s="4">
        <v>1721</v>
      </c>
      <c r="D256" s="5" t="s">
        <v>13</v>
      </c>
      <c r="E256" s="5" t="s">
        <v>39</v>
      </c>
      <c r="F256" s="6">
        <f>365-32</f>
        <v>333</v>
      </c>
      <c r="G256" s="7">
        <v>452</v>
      </c>
      <c r="H256" s="8" t="s">
        <v>15</v>
      </c>
      <c r="I256" s="2">
        <v>1482</v>
      </c>
      <c r="J256" s="9" t="s">
        <v>32</v>
      </c>
      <c r="K256" s="4" t="s">
        <v>762</v>
      </c>
      <c r="L256" s="4" t="s">
        <v>763</v>
      </c>
      <c r="M256" s="4" t="s">
        <v>763</v>
      </c>
      <c r="N256" s="10">
        <v>43709</v>
      </c>
      <c r="O256" s="41">
        <v>3.9</v>
      </c>
      <c r="P256" s="5" t="s">
        <v>19</v>
      </c>
      <c r="Q256" s="10" t="s">
        <v>19</v>
      </c>
      <c r="R256" s="5" t="s">
        <v>20</v>
      </c>
      <c r="S256" s="2" t="str">
        <f>""</f>
        <v/>
      </c>
      <c r="T256" s="11" t="s">
        <v>20</v>
      </c>
    </row>
    <row r="257" spans="1:20" thickTop="1" thickBot="1" x14ac:dyDescent="0.35">
      <c r="A257" s="3" t="s">
        <v>764</v>
      </c>
      <c r="B257" s="4" t="s">
        <v>752</v>
      </c>
      <c r="C257" s="4">
        <v>-290</v>
      </c>
      <c r="D257" s="5" t="s">
        <v>30</v>
      </c>
      <c r="E257" s="5" t="s">
        <v>75</v>
      </c>
      <c r="F257" s="6">
        <f>113-54</f>
        <v>59</v>
      </c>
      <c r="G257" s="7">
        <f>212/2</f>
        <v>106</v>
      </c>
      <c r="H257" s="8" t="s">
        <v>15</v>
      </c>
      <c r="I257" s="2">
        <v>1479</v>
      </c>
      <c r="J257" s="9" t="s">
        <v>32</v>
      </c>
      <c r="K257" s="4" t="s">
        <v>765</v>
      </c>
      <c r="L257" s="2" t="s">
        <v>754</v>
      </c>
      <c r="M257" s="2" t="s">
        <v>754</v>
      </c>
      <c r="N257" s="5" t="str">
        <f>""</f>
        <v/>
      </c>
      <c r="O257" s="41">
        <v>4.5</v>
      </c>
      <c r="P257" s="5" t="s">
        <v>19</v>
      </c>
      <c r="Q257" s="10" t="s">
        <v>19</v>
      </c>
      <c r="R257" s="5" t="s">
        <v>19</v>
      </c>
      <c r="S257" s="5" t="s">
        <v>19</v>
      </c>
      <c r="T257" s="11" t="s">
        <v>20</v>
      </c>
    </row>
    <row r="258" spans="1:20" thickTop="1" thickBot="1" x14ac:dyDescent="0.35">
      <c r="A258" s="3" t="s">
        <v>766</v>
      </c>
      <c r="B258" s="4" t="s">
        <v>767</v>
      </c>
      <c r="C258" s="4">
        <v>1946</v>
      </c>
      <c r="D258" s="5" t="s">
        <v>30</v>
      </c>
      <c r="E258" s="5" t="s">
        <v>39</v>
      </c>
      <c r="F258" s="6">
        <f>109-18</f>
        <v>91</v>
      </c>
      <c r="G258" s="7">
        <v>124</v>
      </c>
      <c r="H258" s="8" t="s">
        <v>15</v>
      </c>
      <c r="I258" s="2">
        <v>284</v>
      </c>
      <c r="J258" s="9" t="s">
        <v>741</v>
      </c>
      <c r="K258" s="4" t="s">
        <v>768</v>
      </c>
      <c r="L258" s="4" t="s">
        <v>769</v>
      </c>
      <c r="M258" s="2" t="str">
        <f>""</f>
        <v/>
      </c>
      <c r="N258" s="10">
        <v>44453</v>
      </c>
      <c r="O258" s="41" t="s">
        <v>988</v>
      </c>
      <c r="P258" s="5" t="s">
        <v>19</v>
      </c>
      <c r="Q258" s="10" t="s">
        <v>19</v>
      </c>
      <c r="R258" s="5" t="s">
        <v>19</v>
      </c>
      <c r="S258" s="2" t="s">
        <v>20</v>
      </c>
      <c r="T258" s="11" t="s">
        <v>20</v>
      </c>
    </row>
    <row r="259" spans="1:20" thickTop="1" thickBot="1" x14ac:dyDescent="0.35">
      <c r="A259" s="3" t="s">
        <v>770</v>
      </c>
      <c r="B259" s="4" t="s">
        <v>771</v>
      </c>
      <c r="C259" s="4">
        <v>1883</v>
      </c>
      <c r="D259" s="5" t="s">
        <v>13</v>
      </c>
      <c r="E259" s="5" t="s">
        <v>772</v>
      </c>
      <c r="F259" s="6">
        <f>219-12</f>
        <v>207</v>
      </c>
      <c r="G259" s="7">
        <v>260</v>
      </c>
      <c r="H259" s="8" t="s">
        <v>57</v>
      </c>
      <c r="I259" s="2">
        <v>756</v>
      </c>
      <c r="J259" s="9" t="s">
        <v>69</v>
      </c>
      <c r="K259" s="4" t="s">
        <v>773</v>
      </c>
      <c r="L259" s="4" t="s">
        <v>774</v>
      </c>
      <c r="M259" s="2" t="s">
        <v>774</v>
      </c>
      <c r="N259" s="10">
        <v>44228</v>
      </c>
      <c r="O259" s="41">
        <v>3.5</v>
      </c>
      <c r="P259" s="5" t="s">
        <v>19</v>
      </c>
      <c r="Q259" s="10" t="s">
        <v>19</v>
      </c>
      <c r="R259" s="5" t="s">
        <v>19</v>
      </c>
      <c r="S259" s="5" t="s">
        <v>20</v>
      </c>
      <c r="T259" s="11" t="s">
        <v>20</v>
      </c>
    </row>
    <row r="260" spans="1:20" thickTop="1" thickBot="1" x14ac:dyDescent="0.35">
      <c r="A260" s="3" t="s">
        <v>775</v>
      </c>
      <c r="B260" s="4" t="s">
        <v>440</v>
      </c>
      <c r="C260" s="4">
        <v>1725</v>
      </c>
      <c r="D260" s="5" t="s">
        <v>23</v>
      </c>
      <c r="E260" s="5" t="s">
        <v>39</v>
      </c>
      <c r="F260" s="6">
        <f>92-42</f>
        <v>50</v>
      </c>
      <c r="G260" s="7">
        <v>162</v>
      </c>
      <c r="H260" s="8" t="s">
        <v>15</v>
      </c>
      <c r="I260" s="2">
        <v>1413</v>
      </c>
      <c r="J260" s="9" t="s">
        <v>32</v>
      </c>
      <c r="K260" s="4" t="s">
        <v>776</v>
      </c>
      <c r="L260" s="4" t="s">
        <v>777</v>
      </c>
      <c r="M260" s="2" t="str">
        <f>""</f>
        <v/>
      </c>
      <c r="N260" s="17">
        <v>44013</v>
      </c>
      <c r="O260" s="42"/>
      <c r="P260" s="5" t="s">
        <v>19</v>
      </c>
      <c r="Q260" s="10" t="s">
        <v>19</v>
      </c>
      <c r="R260" s="5" t="s">
        <v>20</v>
      </c>
      <c r="S260" s="2" t="str">
        <f>""</f>
        <v/>
      </c>
      <c r="T260" s="11" t="s">
        <v>19</v>
      </c>
    </row>
    <row r="261" spans="1:20" thickTop="1" thickBot="1" x14ac:dyDescent="0.35">
      <c r="A261" s="3" t="s">
        <v>778</v>
      </c>
      <c r="B261" s="4" t="s">
        <v>125</v>
      </c>
      <c r="C261" s="4">
        <v>1767</v>
      </c>
      <c r="D261" s="5" t="s">
        <v>30</v>
      </c>
      <c r="E261" s="5" t="s">
        <v>39</v>
      </c>
      <c r="F261" s="6">
        <f>131-30</f>
        <v>101</v>
      </c>
      <c r="G261" s="7">
        <v>288</v>
      </c>
      <c r="H261" s="8" t="s">
        <v>57</v>
      </c>
      <c r="I261" s="2">
        <v>13940</v>
      </c>
      <c r="J261" s="9" t="s">
        <v>69</v>
      </c>
      <c r="K261" s="4" t="s">
        <v>779</v>
      </c>
      <c r="L261" s="4" t="s">
        <v>780</v>
      </c>
      <c r="M261" s="2" t="str">
        <f>""</f>
        <v/>
      </c>
      <c r="N261" s="10">
        <v>44044</v>
      </c>
      <c r="O261" s="41">
        <v>3</v>
      </c>
      <c r="P261" s="5" t="s">
        <v>19</v>
      </c>
      <c r="Q261" s="10" t="s">
        <v>19</v>
      </c>
      <c r="R261" s="5" t="s">
        <v>20</v>
      </c>
      <c r="S261" s="5" t="str">
        <f>""</f>
        <v/>
      </c>
      <c r="T261" s="11" t="s">
        <v>20</v>
      </c>
    </row>
    <row r="262" spans="1:20" thickTop="1" thickBot="1" x14ac:dyDescent="0.35">
      <c r="A262" s="3" t="s">
        <v>781</v>
      </c>
      <c r="B262" s="4" t="s">
        <v>782</v>
      </c>
      <c r="C262" s="4">
        <v>1984</v>
      </c>
      <c r="D262" s="5" t="s">
        <v>13</v>
      </c>
      <c r="E262" s="5" t="s">
        <v>783</v>
      </c>
      <c r="F262" s="6">
        <f>467-4</f>
        <v>463</v>
      </c>
      <c r="G262" s="7">
        <v>484</v>
      </c>
      <c r="H262" s="8" t="s">
        <v>15</v>
      </c>
      <c r="I262" s="2">
        <v>2077</v>
      </c>
      <c r="J262" s="9" t="s">
        <v>16</v>
      </c>
      <c r="K262" s="4" t="s">
        <v>784</v>
      </c>
      <c r="L262" s="4" t="str">
        <f>""</f>
        <v/>
      </c>
      <c r="M262" s="2" t="s">
        <v>785</v>
      </c>
      <c r="N262" s="15">
        <v>45019</v>
      </c>
      <c r="O262" s="42" t="s">
        <v>997</v>
      </c>
      <c r="P262" s="5" t="s">
        <v>19</v>
      </c>
      <c r="Q262" s="10" t="s">
        <v>19</v>
      </c>
      <c r="R262" s="5" t="s">
        <v>19</v>
      </c>
      <c r="S262" s="5" t="s">
        <v>19</v>
      </c>
      <c r="T262" s="11" t="s">
        <v>20</v>
      </c>
    </row>
    <row r="263" spans="1:20" thickTop="1" thickBot="1" x14ac:dyDescent="0.35">
      <c r="A263" s="3" t="s">
        <v>786</v>
      </c>
      <c r="B263" s="4" t="s">
        <v>95</v>
      </c>
      <c r="C263" s="4">
        <v>1886</v>
      </c>
      <c r="D263" s="5" t="s">
        <v>13</v>
      </c>
      <c r="E263" s="5" t="s">
        <v>39</v>
      </c>
      <c r="F263" s="6">
        <f>508-34</f>
        <v>474</v>
      </c>
      <c r="G263" s="7">
        <v>644</v>
      </c>
      <c r="H263" s="8" t="s">
        <v>15</v>
      </c>
      <c r="I263" s="2">
        <v>1437</v>
      </c>
      <c r="J263" s="9" t="s">
        <v>25</v>
      </c>
      <c r="K263" s="4" t="s">
        <v>787</v>
      </c>
      <c r="L263" s="4" t="s">
        <v>788</v>
      </c>
      <c r="M263" s="2" t="str">
        <f>""</f>
        <v/>
      </c>
      <c r="N263" s="10">
        <v>44126</v>
      </c>
      <c r="O263" s="41" t="s">
        <v>1026</v>
      </c>
      <c r="P263" s="5" t="s">
        <v>19</v>
      </c>
      <c r="Q263" s="10" t="s">
        <v>19</v>
      </c>
      <c r="R263" s="5" t="s">
        <v>20</v>
      </c>
      <c r="S263" s="2" t="str">
        <f>""</f>
        <v/>
      </c>
      <c r="T263" s="11" t="s">
        <v>20</v>
      </c>
    </row>
    <row r="264" spans="1:20" thickTop="1" thickBot="1" x14ac:dyDescent="0.35">
      <c r="A264" s="3" t="s">
        <v>789</v>
      </c>
      <c r="B264" s="4" t="s">
        <v>790</v>
      </c>
      <c r="C264" s="4">
        <v>1834</v>
      </c>
      <c r="D264" s="5" t="s">
        <v>23</v>
      </c>
      <c r="E264" s="5" t="s">
        <v>39</v>
      </c>
      <c r="F264" s="6">
        <f>218-34</f>
        <v>184</v>
      </c>
      <c r="G264" s="7">
        <v>294</v>
      </c>
      <c r="H264" s="8" t="s">
        <v>15</v>
      </c>
      <c r="I264" s="2">
        <v>1500</v>
      </c>
      <c r="J264" s="9" t="s">
        <v>32</v>
      </c>
      <c r="K264" s="4" t="s">
        <v>791</v>
      </c>
      <c r="L264" s="4" t="s">
        <v>374</v>
      </c>
      <c r="M264" s="4" t="str">
        <f>""</f>
        <v/>
      </c>
      <c r="N264" s="15">
        <v>44774</v>
      </c>
      <c r="O264" s="42">
        <v>2.9</v>
      </c>
      <c r="P264" s="5" t="s">
        <v>19</v>
      </c>
      <c r="Q264" s="10" t="s">
        <v>19</v>
      </c>
      <c r="R264" s="5" t="s">
        <v>20</v>
      </c>
      <c r="S264" s="5" t="str">
        <f>""</f>
        <v/>
      </c>
      <c r="T264" s="11" t="s">
        <v>20</v>
      </c>
    </row>
    <row r="265" spans="1:20" thickTop="1" thickBot="1" x14ac:dyDescent="0.35">
      <c r="A265" s="3" t="s">
        <v>1182</v>
      </c>
      <c r="B265" s="4" t="s">
        <v>1183</v>
      </c>
      <c r="C265" s="4">
        <v>2008</v>
      </c>
      <c r="D265" s="5" t="s">
        <v>1097</v>
      </c>
      <c r="E265" s="5" t="s">
        <v>31</v>
      </c>
      <c r="F265" s="6">
        <v>27</v>
      </c>
      <c r="G265" s="7">
        <v>34</v>
      </c>
      <c r="H265" s="8" t="s">
        <v>1184</v>
      </c>
      <c r="K265" s="4" t="s">
        <v>1185</v>
      </c>
      <c r="M265" s="2" t="s">
        <v>1186</v>
      </c>
      <c r="N265" s="2"/>
      <c r="O265" s="42">
        <v>6</v>
      </c>
      <c r="P265" s="5" t="s">
        <v>19</v>
      </c>
      <c r="Q265" s="5" t="s">
        <v>19</v>
      </c>
      <c r="R265" s="5" t="s">
        <v>19</v>
      </c>
      <c r="S265" s="43" t="s">
        <v>20</v>
      </c>
      <c r="T265" s="11" t="s">
        <v>20</v>
      </c>
    </row>
    <row r="266" spans="1:20" thickTop="1" thickBot="1" x14ac:dyDescent="0.35">
      <c r="A266" s="3" t="s">
        <v>792</v>
      </c>
      <c r="B266" s="4" t="s">
        <v>364</v>
      </c>
      <c r="C266" s="4">
        <v>1623</v>
      </c>
      <c r="D266" s="5" t="s">
        <v>23</v>
      </c>
      <c r="E266" s="5" t="s">
        <v>14</v>
      </c>
      <c r="F266" s="6">
        <f>151-16</f>
        <v>135</v>
      </c>
      <c r="G266" s="7">
        <v>180</v>
      </c>
      <c r="H266" s="8" t="s">
        <v>15</v>
      </c>
      <c r="I266" s="2">
        <v>6067</v>
      </c>
      <c r="J266" s="9" t="s">
        <v>25</v>
      </c>
      <c r="K266" s="4" t="s">
        <v>793</v>
      </c>
      <c r="L266" s="2" t="s">
        <v>101</v>
      </c>
      <c r="M266" s="2" t="s">
        <v>101</v>
      </c>
      <c r="N266" s="10">
        <v>44599</v>
      </c>
      <c r="O266" s="41">
        <v>2</v>
      </c>
      <c r="P266" s="5" t="s">
        <v>19</v>
      </c>
      <c r="Q266" s="10" t="s">
        <v>19</v>
      </c>
      <c r="R266" s="5" t="s">
        <v>19</v>
      </c>
      <c r="S266" s="2" t="s">
        <v>20</v>
      </c>
      <c r="T266" s="11" t="s">
        <v>20</v>
      </c>
    </row>
    <row r="267" spans="1:20" thickTop="1" thickBot="1" x14ac:dyDescent="0.35">
      <c r="A267" s="3" t="s">
        <v>794</v>
      </c>
      <c r="B267" s="4" t="s">
        <v>657</v>
      </c>
      <c r="C267" s="4">
        <v>1857</v>
      </c>
      <c r="D267" s="5" t="s">
        <v>13</v>
      </c>
      <c r="E267" s="5" t="s">
        <v>39</v>
      </c>
      <c r="F267" s="6">
        <f>488-54</f>
        <v>434</v>
      </c>
      <c r="G267" s="7">
        <v>676</v>
      </c>
      <c r="H267" s="8" t="s">
        <v>57</v>
      </c>
      <c r="I267" s="2">
        <v>35323</v>
      </c>
      <c r="J267" s="9" t="s">
        <v>69</v>
      </c>
      <c r="K267" s="4" t="s">
        <v>795</v>
      </c>
      <c r="L267" s="4" t="s">
        <v>796</v>
      </c>
      <c r="M267" s="2" t="str">
        <f>""</f>
        <v/>
      </c>
      <c r="N267" s="15">
        <v>44470</v>
      </c>
      <c r="O267" s="42"/>
      <c r="P267" s="5" t="s">
        <v>19</v>
      </c>
      <c r="Q267" s="10" t="s">
        <v>19</v>
      </c>
      <c r="R267" s="5" t="s">
        <v>20</v>
      </c>
      <c r="S267" s="2" t="str">
        <f>""</f>
        <v/>
      </c>
      <c r="T267" s="11" t="s">
        <v>20</v>
      </c>
    </row>
    <row r="268" spans="1:20" thickTop="1" thickBot="1" x14ac:dyDescent="0.35">
      <c r="A268" s="3" t="s">
        <v>1199</v>
      </c>
      <c r="B268" s="4" t="s">
        <v>1200</v>
      </c>
      <c r="C268" s="4">
        <v>2003</v>
      </c>
      <c r="D268" s="5" t="s">
        <v>1097</v>
      </c>
      <c r="E268" s="5" t="s">
        <v>39</v>
      </c>
      <c r="F268" s="6">
        <v>22</v>
      </c>
      <c r="G268" s="7">
        <v>32</v>
      </c>
      <c r="H268" s="8" t="s">
        <v>1192</v>
      </c>
      <c r="K268" s="4" t="s">
        <v>1201</v>
      </c>
      <c r="M268" s="2"/>
      <c r="N268" s="2"/>
      <c r="O268" s="42">
        <v>3.99</v>
      </c>
      <c r="P268" s="5" t="s">
        <v>19</v>
      </c>
      <c r="Q268" s="5" t="s">
        <v>19</v>
      </c>
      <c r="R268" s="5" t="s">
        <v>19</v>
      </c>
      <c r="S268" s="16" t="s">
        <v>20</v>
      </c>
      <c r="T268" s="11" t="s">
        <v>20</v>
      </c>
    </row>
    <row r="269" spans="1:20" thickTop="1" thickBot="1" x14ac:dyDescent="0.35">
      <c r="A269" s="3" t="s">
        <v>797</v>
      </c>
      <c r="B269" s="4" t="s">
        <v>798</v>
      </c>
      <c r="C269" s="4">
        <v>125</v>
      </c>
      <c r="D269" s="5" t="s">
        <v>30</v>
      </c>
      <c r="E269" s="5" t="s">
        <v>75</v>
      </c>
      <c r="F269" s="6">
        <f>209-176</f>
        <v>33</v>
      </c>
      <c r="G269" s="7">
        <f>228/2</f>
        <v>114</v>
      </c>
      <c r="H269" s="8" t="s">
        <v>15</v>
      </c>
      <c r="I269" s="2">
        <v>16</v>
      </c>
      <c r="J269" s="9" t="s">
        <v>32</v>
      </c>
      <c r="K269" s="4" t="s">
        <v>799</v>
      </c>
      <c r="L269" s="2" t="s">
        <v>800</v>
      </c>
      <c r="M269" s="2" t="s">
        <v>800</v>
      </c>
      <c r="N269" s="2" t="str">
        <f>""</f>
        <v/>
      </c>
      <c r="O269" s="42"/>
      <c r="P269" s="5" t="s">
        <v>19</v>
      </c>
      <c r="Q269" s="10" t="s">
        <v>19</v>
      </c>
      <c r="R269" s="5" t="s">
        <v>20</v>
      </c>
      <c r="S269" s="2" t="str">
        <f>""</f>
        <v/>
      </c>
      <c r="T269" s="11" t="s">
        <v>20</v>
      </c>
    </row>
    <row r="270" spans="1:20" thickTop="1" thickBot="1" x14ac:dyDescent="0.35">
      <c r="A270" s="3" t="s">
        <v>1156</v>
      </c>
      <c r="B270" s="4" t="s">
        <v>1157</v>
      </c>
      <c r="C270" s="4">
        <v>2012</v>
      </c>
      <c r="D270" s="5" t="s">
        <v>1037</v>
      </c>
      <c r="E270" s="5" t="s">
        <v>39</v>
      </c>
      <c r="F270" s="6">
        <f>62-2</f>
        <v>60</v>
      </c>
      <c r="G270" s="7">
        <v>70</v>
      </c>
      <c r="H270" s="8" t="s">
        <v>1158</v>
      </c>
      <c r="K270" s="4" t="s">
        <v>1159</v>
      </c>
      <c r="O270" s="41"/>
      <c r="P270" s="5" t="s">
        <v>19</v>
      </c>
      <c r="Q270" s="5" t="s">
        <v>19</v>
      </c>
      <c r="R270" s="5" t="s">
        <v>20</v>
      </c>
      <c r="S270" s="43"/>
      <c r="T270" s="11" t="s">
        <v>20</v>
      </c>
    </row>
    <row r="271" spans="1:20" thickTop="1" thickBot="1" x14ac:dyDescent="0.35">
      <c r="A271" s="3" t="s">
        <v>801</v>
      </c>
      <c r="B271" s="4" t="s">
        <v>802</v>
      </c>
      <c r="C271" s="4">
        <v>1995</v>
      </c>
      <c r="D271" s="5" t="s">
        <v>85</v>
      </c>
      <c r="E271" s="5" t="s">
        <v>39</v>
      </c>
      <c r="F271" s="6">
        <f>12+1542</f>
        <v>1554</v>
      </c>
      <c r="G271" s="7">
        <f>1574+12+2</f>
        <v>1588</v>
      </c>
      <c r="H271" s="8" t="s">
        <v>803</v>
      </c>
      <c r="I271" s="2" t="str">
        <f>""</f>
        <v/>
      </c>
      <c r="J271" s="9" t="s">
        <v>804</v>
      </c>
      <c r="K271" s="4" t="s">
        <v>805</v>
      </c>
      <c r="L271" s="2" t="str">
        <f>""</f>
        <v/>
      </c>
      <c r="M271" s="2" t="str">
        <f>""</f>
        <v/>
      </c>
      <c r="N271" s="10">
        <v>43739</v>
      </c>
      <c r="O271" s="41"/>
      <c r="P271" s="5" t="s">
        <v>19</v>
      </c>
      <c r="Q271" s="10" t="s">
        <v>19</v>
      </c>
      <c r="R271" s="5" t="s">
        <v>19</v>
      </c>
      <c r="S271" s="5" t="s">
        <v>20</v>
      </c>
      <c r="T271" s="11" t="s">
        <v>20</v>
      </c>
    </row>
    <row r="272" spans="1:20" thickTop="1" thickBot="1" x14ac:dyDescent="0.35">
      <c r="A272" s="3" t="s">
        <v>806</v>
      </c>
      <c r="B272" s="4" t="s">
        <v>22</v>
      </c>
      <c r="C272" s="4">
        <v>65</v>
      </c>
      <c r="D272" s="5" t="s">
        <v>23</v>
      </c>
      <c r="E272" s="5" t="s">
        <v>24</v>
      </c>
      <c r="F272" s="6">
        <f>461-396</f>
        <v>65</v>
      </c>
      <c r="G272" s="7">
        <v>111</v>
      </c>
      <c r="H272" s="8" t="s">
        <v>15</v>
      </c>
      <c r="I272" s="2">
        <v>7143</v>
      </c>
      <c r="J272" s="9" t="s">
        <v>25</v>
      </c>
      <c r="K272" s="4" t="s">
        <v>26</v>
      </c>
      <c r="L272" s="4" t="s">
        <v>27</v>
      </c>
      <c r="M272" s="4" t="s">
        <v>27</v>
      </c>
      <c r="N272" s="10">
        <v>44867</v>
      </c>
      <c r="O272" s="41">
        <v>0</v>
      </c>
      <c r="P272" s="5" t="s">
        <v>20</v>
      </c>
      <c r="Q272" s="10" t="s">
        <v>19</v>
      </c>
      <c r="R272" s="5" t="s">
        <v>19</v>
      </c>
      <c r="S272" s="5" t="s">
        <v>19</v>
      </c>
      <c r="T272" s="11" t="s">
        <v>20</v>
      </c>
    </row>
    <row r="273" spans="1:20" thickTop="1" thickBot="1" x14ac:dyDescent="0.35">
      <c r="A273" s="3" t="s">
        <v>807</v>
      </c>
      <c r="B273" s="4" t="s">
        <v>230</v>
      </c>
      <c r="C273" s="4">
        <v>1641</v>
      </c>
      <c r="D273" s="5" t="s">
        <v>30</v>
      </c>
      <c r="E273" s="5" t="s">
        <v>39</v>
      </c>
      <c r="F273" s="6">
        <f>567-32</f>
        <v>535</v>
      </c>
      <c r="G273" s="7">
        <v>582</v>
      </c>
      <c r="H273" s="8" t="s">
        <v>15</v>
      </c>
      <c r="I273" s="2">
        <v>1480</v>
      </c>
      <c r="J273" s="9" t="s">
        <v>32</v>
      </c>
      <c r="K273" s="4" t="s">
        <v>808</v>
      </c>
      <c r="L273" s="2" t="s">
        <v>809</v>
      </c>
      <c r="M273" s="4" t="str">
        <f>""</f>
        <v/>
      </c>
      <c r="N273" s="10">
        <v>43709</v>
      </c>
      <c r="O273" s="41">
        <v>5.6</v>
      </c>
      <c r="P273" s="5" t="s">
        <v>19</v>
      </c>
      <c r="Q273" s="10" t="s">
        <v>19</v>
      </c>
      <c r="R273" s="5" t="s">
        <v>20</v>
      </c>
      <c r="S273" s="5" t="str">
        <f>""</f>
        <v/>
      </c>
      <c r="T273" s="11" t="s">
        <v>20</v>
      </c>
    </row>
    <row r="274" spans="1:20" thickTop="1" thickBot="1" x14ac:dyDescent="0.35">
      <c r="A274" s="3" t="s">
        <v>810</v>
      </c>
      <c r="B274" s="4" t="s">
        <v>367</v>
      </c>
      <c r="C274" s="4">
        <v>1820</v>
      </c>
      <c r="D274" s="5" t="s">
        <v>38</v>
      </c>
      <c r="E274" s="5" t="s">
        <v>39</v>
      </c>
      <c r="F274" s="6">
        <f>121-20</f>
        <v>101</v>
      </c>
      <c r="G274" s="7">
        <f>484/4</f>
        <v>121</v>
      </c>
      <c r="H274" s="8" t="s">
        <v>15</v>
      </c>
      <c r="I274" s="2">
        <v>145</v>
      </c>
      <c r="J274" s="9" t="s">
        <v>38</v>
      </c>
      <c r="K274" s="4" t="s">
        <v>368</v>
      </c>
      <c r="L274" s="4" t="s">
        <v>369</v>
      </c>
      <c r="M274" s="4" t="str">
        <f>""</f>
        <v/>
      </c>
      <c r="N274" s="10">
        <v>44607</v>
      </c>
      <c r="O274" s="41" t="s">
        <v>1005</v>
      </c>
      <c r="P274" s="5" t="s">
        <v>19</v>
      </c>
      <c r="Q274" s="10" t="s">
        <v>19</v>
      </c>
      <c r="R274" s="5" t="s">
        <v>19</v>
      </c>
      <c r="S274" s="5" t="s">
        <v>19</v>
      </c>
      <c r="T274" s="11" t="s">
        <v>20</v>
      </c>
    </row>
    <row r="275" spans="1:20" thickTop="1" thickBot="1" x14ac:dyDescent="0.35">
      <c r="A275" s="3" t="s">
        <v>1166</v>
      </c>
      <c r="B275" s="4" t="s">
        <v>1167</v>
      </c>
      <c r="C275" s="4">
        <v>2014</v>
      </c>
      <c r="D275" s="5" t="s">
        <v>1037</v>
      </c>
      <c r="E275" s="5" t="s">
        <v>39</v>
      </c>
      <c r="F275" s="6">
        <v>62</v>
      </c>
      <c r="G275" s="7">
        <v>70</v>
      </c>
      <c r="H275" s="8" t="s">
        <v>1168</v>
      </c>
      <c r="K275" s="4" t="s">
        <v>1169</v>
      </c>
      <c r="M275" s="2"/>
      <c r="N275" s="2"/>
      <c r="O275" s="42">
        <v>15.9</v>
      </c>
      <c r="P275" s="5" t="s">
        <v>19</v>
      </c>
      <c r="Q275" s="5" t="s">
        <v>19</v>
      </c>
      <c r="R275" s="5" t="s">
        <v>20</v>
      </c>
      <c r="S275" s="43"/>
      <c r="T275" s="11" t="s">
        <v>20</v>
      </c>
    </row>
    <row r="276" spans="1:20" thickTop="1" thickBot="1" x14ac:dyDescent="0.35">
      <c r="A276" s="3" t="s">
        <v>811</v>
      </c>
      <c r="B276" s="4" t="s">
        <v>664</v>
      </c>
      <c r="C276" s="4">
        <v>2017</v>
      </c>
      <c r="D276" s="5" t="s">
        <v>108</v>
      </c>
      <c r="E276" s="5" t="s">
        <v>31</v>
      </c>
      <c r="F276" s="6">
        <f>749-6</f>
        <v>743</v>
      </c>
      <c r="G276" s="7">
        <v>806</v>
      </c>
      <c r="H276" s="8" t="s">
        <v>91</v>
      </c>
      <c r="I276" s="2" t="str">
        <f>""</f>
        <v/>
      </c>
      <c r="J276" s="9" t="s">
        <v>92</v>
      </c>
      <c r="K276" s="4" t="s">
        <v>812</v>
      </c>
      <c r="L276" s="4" t="str">
        <f>""</f>
        <v/>
      </c>
      <c r="M276" s="4" t="str">
        <f>""</f>
        <v/>
      </c>
      <c r="N276" s="5" t="str">
        <f>""</f>
        <v/>
      </c>
      <c r="O276" s="41"/>
      <c r="P276" s="5" t="s">
        <v>19</v>
      </c>
      <c r="Q276" s="10" t="s">
        <v>19</v>
      </c>
      <c r="R276" s="5" t="s">
        <v>20</v>
      </c>
      <c r="S276" s="5" t="str">
        <f>""</f>
        <v/>
      </c>
      <c r="T276" s="11" t="s">
        <v>20</v>
      </c>
    </row>
    <row r="277" spans="1:20" thickTop="1" thickBot="1" x14ac:dyDescent="0.35">
      <c r="A277" s="3" t="s">
        <v>813</v>
      </c>
      <c r="B277" s="4" t="s">
        <v>814</v>
      </c>
      <c r="C277" s="4">
        <v>1851</v>
      </c>
      <c r="D277" s="5" t="s">
        <v>13</v>
      </c>
      <c r="E277" s="5" t="s">
        <v>46</v>
      </c>
      <c r="F277" s="6">
        <f>731-18</f>
        <v>713</v>
      </c>
      <c r="G277" s="7">
        <v>756</v>
      </c>
      <c r="H277" s="8" t="s">
        <v>15</v>
      </c>
      <c r="I277" s="2">
        <v>2852</v>
      </c>
      <c r="J277" s="9" t="s">
        <v>25</v>
      </c>
      <c r="K277" s="4" t="s">
        <v>815</v>
      </c>
      <c r="L277" s="4" t="s">
        <v>816</v>
      </c>
      <c r="M277" s="2" t="s">
        <v>816</v>
      </c>
      <c r="N277" s="10">
        <v>44091</v>
      </c>
      <c r="O277" s="41" t="s">
        <v>996</v>
      </c>
      <c r="P277" s="5" t="s">
        <v>19</v>
      </c>
      <c r="Q277" s="10" t="s">
        <v>19</v>
      </c>
      <c r="R277" s="5" t="s">
        <v>19</v>
      </c>
      <c r="S277" s="5" t="s">
        <v>19</v>
      </c>
      <c r="T277" s="11" t="s">
        <v>20</v>
      </c>
    </row>
    <row r="278" spans="1:20" thickTop="1" thickBot="1" x14ac:dyDescent="0.35">
      <c r="A278" s="3" t="s">
        <v>1222</v>
      </c>
      <c r="B278" s="4" t="s">
        <v>1223</v>
      </c>
      <c r="C278" s="4">
        <v>2004</v>
      </c>
      <c r="D278" s="5" t="s">
        <v>1097</v>
      </c>
      <c r="E278" s="5" t="s">
        <v>39</v>
      </c>
      <c r="F278" s="6">
        <v>21</v>
      </c>
      <c r="G278" s="7">
        <v>32</v>
      </c>
      <c r="H278" s="8" t="s">
        <v>1192</v>
      </c>
      <c r="K278" s="4" t="s">
        <v>1224</v>
      </c>
      <c r="L278" s="2"/>
      <c r="O278" s="41">
        <v>4.6900000000000004</v>
      </c>
      <c r="P278" s="5" t="s">
        <v>19</v>
      </c>
      <c r="Q278" s="5" t="s">
        <v>19</v>
      </c>
      <c r="R278" s="5" t="s">
        <v>19</v>
      </c>
      <c r="S278" s="43" t="s">
        <v>20</v>
      </c>
      <c r="T278" s="11" t="s">
        <v>19</v>
      </c>
    </row>
    <row r="279" spans="1:20" thickTop="1" thickBot="1" x14ac:dyDescent="0.35">
      <c r="A279" s="3" t="s">
        <v>1241</v>
      </c>
      <c r="B279" s="4" t="s">
        <v>1242</v>
      </c>
      <c r="C279" s="4">
        <v>2004</v>
      </c>
      <c r="D279" s="5" t="s">
        <v>1097</v>
      </c>
      <c r="E279" s="5" t="s">
        <v>39</v>
      </c>
      <c r="F279" s="6">
        <v>17</v>
      </c>
      <c r="G279" s="7">
        <v>28</v>
      </c>
      <c r="H279" s="8" t="s">
        <v>1192</v>
      </c>
      <c r="K279" s="4" t="s">
        <v>1243</v>
      </c>
      <c r="N279" s="2"/>
      <c r="O279" s="42">
        <v>12</v>
      </c>
      <c r="P279" s="5" t="s">
        <v>19</v>
      </c>
      <c r="Q279" s="5" t="s">
        <v>19</v>
      </c>
      <c r="R279" s="5" t="s">
        <v>19</v>
      </c>
      <c r="S279" s="43" t="s">
        <v>20</v>
      </c>
      <c r="T279" s="11" t="s">
        <v>20</v>
      </c>
    </row>
    <row r="280" spans="1:20" thickTop="1" thickBot="1" x14ac:dyDescent="0.35">
      <c r="A280" s="3" t="s">
        <v>817</v>
      </c>
      <c r="B280" s="4" t="s">
        <v>818</v>
      </c>
      <c r="C280" s="4">
        <v>1996</v>
      </c>
      <c r="D280" s="5" t="s">
        <v>108</v>
      </c>
      <c r="E280" s="5" t="s">
        <v>31</v>
      </c>
      <c r="F280" s="6">
        <f>601-2</f>
        <v>599</v>
      </c>
      <c r="G280" s="7">
        <v>622</v>
      </c>
      <c r="H280" s="8" t="s">
        <v>91</v>
      </c>
      <c r="I280" s="2" t="str">
        <f>""</f>
        <v/>
      </c>
      <c r="J280" s="9" t="s">
        <v>92</v>
      </c>
      <c r="K280" s="4" t="s">
        <v>819</v>
      </c>
      <c r="L280" s="2" t="str">
        <f>""</f>
        <v/>
      </c>
      <c r="M280" s="4" t="str">
        <f>""</f>
        <v/>
      </c>
      <c r="N280" s="5" t="str">
        <f>""</f>
        <v/>
      </c>
      <c r="O280" s="41"/>
      <c r="P280" s="5" t="s">
        <v>19</v>
      </c>
      <c r="Q280" s="10" t="s">
        <v>19</v>
      </c>
      <c r="R280" s="5" t="s">
        <v>20</v>
      </c>
      <c r="S280" s="5" t="str">
        <f>""</f>
        <v/>
      </c>
      <c r="T280" s="11" t="s">
        <v>20</v>
      </c>
    </row>
    <row r="281" spans="1:20" thickTop="1" thickBot="1" x14ac:dyDescent="0.35">
      <c r="A281" s="3" t="s">
        <v>1187</v>
      </c>
      <c r="B281" s="4" t="s">
        <v>1188</v>
      </c>
      <c r="C281" s="4">
        <v>2010</v>
      </c>
      <c r="D281" s="5" t="s">
        <v>1097</v>
      </c>
      <c r="E281" s="5" t="s">
        <v>39</v>
      </c>
      <c r="F281" s="6">
        <v>29</v>
      </c>
      <c r="G281" s="7">
        <v>36</v>
      </c>
      <c r="H281" s="8" t="s">
        <v>186</v>
      </c>
      <c r="I281" s="2">
        <v>171219</v>
      </c>
      <c r="K281" s="4" t="s">
        <v>1189</v>
      </c>
      <c r="L281" s="2"/>
      <c r="O281" s="41">
        <v>10</v>
      </c>
      <c r="P281" s="5" t="s">
        <v>19</v>
      </c>
      <c r="Q281" s="5" t="s">
        <v>19</v>
      </c>
      <c r="R281" s="5" t="s">
        <v>19</v>
      </c>
      <c r="S281" s="16" t="s">
        <v>20</v>
      </c>
      <c r="T281" s="11" t="s">
        <v>20</v>
      </c>
    </row>
    <row r="282" spans="1:20" thickTop="1" thickBot="1" x14ac:dyDescent="0.35">
      <c r="A282" s="3" t="s">
        <v>820</v>
      </c>
      <c r="B282" s="4" t="s">
        <v>95</v>
      </c>
      <c r="C282" s="4">
        <v>1880</v>
      </c>
      <c r="D282" s="5" t="s">
        <v>13</v>
      </c>
      <c r="E282" s="5" t="s">
        <v>39</v>
      </c>
      <c r="F282" s="6">
        <f>492-18</f>
        <v>474</v>
      </c>
      <c r="G282" s="7">
        <v>518</v>
      </c>
      <c r="H282" s="8" t="s">
        <v>57</v>
      </c>
      <c r="I282" s="2">
        <v>50</v>
      </c>
      <c r="J282" s="9" t="s">
        <v>69</v>
      </c>
      <c r="K282" s="4" t="s">
        <v>821</v>
      </c>
      <c r="L282" s="4" t="s">
        <v>822</v>
      </c>
      <c r="M282" s="2" t="str">
        <f>""</f>
        <v/>
      </c>
      <c r="N282" s="10">
        <v>44256</v>
      </c>
      <c r="O282" s="41">
        <v>4.2</v>
      </c>
      <c r="P282" s="5" t="s">
        <v>19</v>
      </c>
      <c r="Q282" s="10" t="s">
        <v>19</v>
      </c>
      <c r="R282" s="5" t="s">
        <v>20</v>
      </c>
      <c r="S282" s="5" t="str">
        <f>""</f>
        <v/>
      </c>
      <c r="T282" s="11" t="s">
        <v>20</v>
      </c>
    </row>
    <row r="283" spans="1:20" thickTop="1" thickBot="1" x14ac:dyDescent="0.35">
      <c r="A283" s="3" t="s">
        <v>823</v>
      </c>
      <c r="B283" s="4" t="s">
        <v>148</v>
      </c>
      <c r="C283" s="4">
        <v>1831</v>
      </c>
      <c r="D283" s="5" t="s">
        <v>13</v>
      </c>
      <c r="E283" s="5" t="s">
        <v>39</v>
      </c>
      <c r="F283" s="6">
        <f>678-52</f>
        <v>626</v>
      </c>
      <c r="G283" s="7">
        <v>740</v>
      </c>
      <c r="H283" s="8" t="s">
        <v>57</v>
      </c>
      <c r="I283" s="2">
        <v>1698</v>
      </c>
      <c r="J283" s="2" t="s">
        <v>618</v>
      </c>
      <c r="K283" s="4" t="s">
        <v>824</v>
      </c>
      <c r="L283" s="2" t="s">
        <v>825</v>
      </c>
      <c r="M283" s="2" t="str">
        <f>""</f>
        <v/>
      </c>
      <c r="N283" s="15">
        <v>42705</v>
      </c>
      <c r="O283" s="42">
        <v>4.5999999999999996</v>
      </c>
      <c r="P283" s="5" t="s">
        <v>19</v>
      </c>
      <c r="Q283" s="10" t="s">
        <v>19</v>
      </c>
      <c r="R283" s="5" t="s">
        <v>19</v>
      </c>
      <c r="S283" s="2" t="s">
        <v>19</v>
      </c>
      <c r="T283" s="11" t="s">
        <v>19</v>
      </c>
    </row>
    <row r="284" spans="1:20" thickTop="1" thickBot="1" x14ac:dyDescent="0.35">
      <c r="A284" s="3" t="s">
        <v>826</v>
      </c>
      <c r="B284" s="4" t="s">
        <v>367</v>
      </c>
      <c r="C284" s="4">
        <v>1820</v>
      </c>
      <c r="D284" s="5" t="s">
        <v>38</v>
      </c>
      <c r="E284" s="5" t="s">
        <v>39</v>
      </c>
      <c r="F284" s="6">
        <v>105</v>
      </c>
      <c r="G284" s="7">
        <f>484/4</f>
        <v>121</v>
      </c>
      <c r="H284" s="8" t="s">
        <v>15</v>
      </c>
      <c r="I284" s="2">
        <v>145</v>
      </c>
      <c r="J284" s="9" t="s">
        <v>38</v>
      </c>
      <c r="K284" s="4" t="s">
        <v>368</v>
      </c>
      <c r="L284" s="4" t="s">
        <v>369</v>
      </c>
      <c r="M284" s="4" t="str">
        <f>""</f>
        <v/>
      </c>
      <c r="N284" s="10">
        <v>44607</v>
      </c>
      <c r="O284" s="41">
        <v>0</v>
      </c>
      <c r="P284" s="5" t="s">
        <v>20</v>
      </c>
      <c r="Q284" s="10" t="s">
        <v>19</v>
      </c>
      <c r="R284" s="5" t="s">
        <v>19</v>
      </c>
      <c r="S284" s="5" t="s">
        <v>19</v>
      </c>
      <c r="T284" s="11" t="s">
        <v>20</v>
      </c>
    </row>
    <row r="285" spans="1:20" thickTop="1" thickBot="1" x14ac:dyDescent="0.35">
      <c r="A285" s="3" t="s">
        <v>827</v>
      </c>
      <c r="B285" s="4" t="s">
        <v>389</v>
      </c>
      <c r="C285" s="4">
        <v>-15</v>
      </c>
      <c r="D285" s="5" t="s">
        <v>38</v>
      </c>
      <c r="E285" s="5" t="s">
        <v>24</v>
      </c>
      <c r="F285" s="6">
        <f>441-32</f>
        <v>409</v>
      </c>
      <c r="G285" s="7">
        <v>500</v>
      </c>
      <c r="H285" s="8" t="s">
        <v>15</v>
      </c>
      <c r="I285" s="2">
        <v>399</v>
      </c>
      <c r="J285" s="9" t="s">
        <v>38</v>
      </c>
      <c r="K285" s="4" t="s">
        <v>828</v>
      </c>
      <c r="L285" s="4" t="s">
        <v>829</v>
      </c>
      <c r="M285" s="4" t="s">
        <v>829</v>
      </c>
      <c r="N285" s="10">
        <v>38314</v>
      </c>
      <c r="O285" s="41" t="s">
        <v>987</v>
      </c>
      <c r="P285" s="5" t="s">
        <v>19</v>
      </c>
      <c r="Q285" s="10" t="s">
        <v>19</v>
      </c>
      <c r="R285" s="5" t="s">
        <v>19</v>
      </c>
      <c r="S285" s="2" t="s">
        <v>20</v>
      </c>
      <c r="T285" s="11" t="s">
        <v>20</v>
      </c>
    </row>
    <row r="286" spans="1:20" thickTop="1" thickBot="1" x14ac:dyDescent="0.35">
      <c r="A286" s="3" t="s">
        <v>830</v>
      </c>
      <c r="B286" s="2" t="s">
        <v>367</v>
      </c>
      <c r="C286" s="2">
        <v>1820</v>
      </c>
      <c r="D286" s="5" t="s">
        <v>38</v>
      </c>
      <c r="E286" s="5" t="s">
        <v>39</v>
      </c>
      <c r="F286" s="6">
        <f>352-328</f>
        <v>24</v>
      </c>
      <c r="G286" s="7">
        <f>484/4</f>
        <v>121</v>
      </c>
      <c r="H286" s="2" t="s">
        <v>15</v>
      </c>
      <c r="I286" s="2">
        <v>145</v>
      </c>
      <c r="J286" s="2" t="s">
        <v>38</v>
      </c>
      <c r="K286" s="4" t="s">
        <v>368</v>
      </c>
      <c r="L286" s="2" t="s">
        <v>369</v>
      </c>
      <c r="M286" s="2" t="str">
        <f>""</f>
        <v/>
      </c>
      <c r="N286" s="15">
        <v>44607</v>
      </c>
      <c r="O286" s="42">
        <v>0</v>
      </c>
      <c r="P286" s="5" t="s">
        <v>20</v>
      </c>
      <c r="Q286" s="10" t="s">
        <v>19</v>
      </c>
      <c r="R286" s="5" t="s">
        <v>19</v>
      </c>
      <c r="S286" s="2" t="s">
        <v>19</v>
      </c>
      <c r="T286" s="11" t="s">
        <v>20</v>
      </c>
    </row>
    <row r="287" spans="1:20" thickTop="1" thickBot="1" x14ac:dyDescent="0.35">
      <c r="A287" s="3" t="s">
        <v>831</v>
      </c>
      <c r="B287" s="4" t="s">
        <v>395</v>
      </c>
      <c r="C287" s="4">
        <v>-710</v>
      </c>
      <c r="D287" s="5" t="s">
        <v>38</v>
      </c>
      <c r="E287" s="5" t="s">
        <v>75</v>
      </c>
      <c r="F287" s="6">
        <f>435-40</f>
        <v>395</v>
      </c>
      <c r="G287" s="7">
        <v>532</v>
      </c>
      <c r="H287" s="8" t="s">
        <v>15</v>
      </c>
      <c r="I287" s="2">
        <v>1584</v>
      </c>
      <c r="J287" s="9" t="s">
        <v>32</v>
      </c>
      <c r="K287" s="4" t="s">
        <v>832</v>
      </c>
      <c r="L287" s="4" t="s">
        <v>383</v>
      </c>
      <c r="M287" s="4" t="s">
        <v>833</v>
      </c>
      <c r="N287" s="5" t="str">
        <f>""</f>
        <v/>
      </c>
      <c r="O287" s="41">
        <v>4.4000000000000004</v>
      </c>
      <c r="P287" s="5" t="s">
        <v>19</v>
      </c>
      <c r="Q287" s="10" t="s">
        <v>19</v>
      </c>
      <c r="R287" s="5" t="s">
        <v>19</v>
      </c>
      <c r="S287" s="2" t="s">
        <v>19</v>
      </c>
      <c r="T287" s="11" t="s">
        <v>20</v>
      </c>
    </row>
    <row r="288" spans="1:20" thickTop="1" thickBot="1" x14ac:dyDescent="0.35">
      <c r="A288" s="3" t="s">
        <v>834</v>
      </c>
      <c r="B288" s="4" t="s">
        <v>22</v>
      </c>
      <c r="C288" s="4">
        <v>65</v>
      </c>
      <c r="D288" s="5" t="s">
        <v>23</v>
      </c>
      <c r="E288" s="5" t="s">
        <v>24</v>
      </c>
      <c r="F288" s="6">
        <f>139-68</f>
        <v>71</v>
      </c>
      <c r="G288" s="7">
        <v>111</v>
      </c>
      <c r="H288" s="8" t="s">
        <v>15</v>
      </c>
      <c r="I288" s="2">
        <v>7143</v>
      </c>
      <c r="J288" s="9" t="s">
        <v>25</v>
      </c>
      <c r="K288" s="4" t="s">
        <v>26</v>
      </c>
      <c r="L288" s="4" t="s">
        <v>27</v>
      </c>
      <c r="M288" s="4" t="s">
        <v>27</v>
      </c>
      <c r="N288" s="10">
        <v>44867</v>
      </c>
      <c r="O288" s="41">
        <v>0</v>
      </c>
      <c r="P288" s="5" t="s">
        <v>20</v>
      </c>
      <c r="Q288" s="10" t="s">
        <v>19</v>
      </c>
      <c r="R288" s="5" t="s">
        <v>19</v>
      </c>
      <c r="S288" s="2" t="s">
        <v>19</v>
      </c>
      <c r="T288" s="11" t="s">
        <v>20</v>
      </c>
    </row>
    <row r="289" spans="1:20" thickTop="1" thickBot="1" x14ac:dyDescent="0.35">
      <c r="A289" s="3" t="s">
        <v>835</v>
      </c>
      <c r="B289" s="4" t="s">
        <v>74</v>
      </c>
      <c r="C289" s="4">
        <v>-425</v>
      </c>
      <c r="D289" s="5" t="s">
        <v>23</v>
      </c>
      <c r="E289" s="5" t="s">
        <v>75</v>
      </c>
      <c r="F289" s="6">
        <f>138-48</f>
        <v>90</v>
      </c>
      <c r="G289" s="7">
        <v>214</v>
      </c>
      <c r="H289" s="8" t="s">
        <v>15</v>
      </c>
      <c r="I289" s="2">
        <v>6005</v>
      </c>
      <c r="J289" s="9" t="s">
        <v>25</v>
      </c>
      <c r="K289" s="4" t="s">
        <v>836</v>
      </c>
      <c r="L289" s="4" t="s">
        <v>114</v>
      </c>
      <c r="M289" s="4" t="s">
        <v>837</v>
      </c>
      <c r="N289" s="10">
        <v>44530</v>
      </c>
      <c r="O289" s="41"/>
      <c r="P289" s="5" t="s">
        <v>19</v>
      </c>
      <c r="Q289" s="10" t="s">
        <v>19</v>
      </c>
      <c r="R289" s="5" t="s">
        <v>20</v>
      </c>
      <c r="S289" s="5" t="str">
        <f>""</f>
        <v/>
      </c>
      <c r="T289" s="11" t="s">
        <v>20</v>
      </c>
    </row>
    <row r="290" spans="1:20" thickTop="1" thickBot="1" x14ac:dyDescent="0.35">
      <c r="A290" s="3" t="s">
        <v>1027</v>
      </c>
      <c r="B290" s="4" t="s">
        <v>211</v>
      </c>
      <c r="C290" s="4">
        <v>1895</v>
      </c>
      <c r="D290" s="5" t="s">
        <v>38</v>
      </c>
      <c r="E290" s="5" t="s">
        <v>39</v>
      </c>
      <c r="F290" s="6">
        <v>24</v>
      </c>
      <c r="G290" s="7">
        <v>37</v>
      </c>
      <c r="H290" s="8" t="s">
        <v>15</v>
      </c>
      <c r="I290" s="2">
        <v>1459</v>
      </c>
      <c r="J290" s="9" t="s">
        <v>32</v>
      </c>
      <c r="K290" s="4" t="s">
        <v>212</v>
      </c>
      <c r="L290" s="4" t="s">
        <v>213</v>
      </c>
      <c r="M290" s="4" t="s">
        <v>1028</v>
      </c>
      <c r="N290" s="5" t="s">
        <v>1028</v>
      </c>
      <c r="O290" s="41">
        <v>4.8</v>
      </c>
      <c r="P290" s="5" t="s">
        <v>19</v>
      </c>
      <c r="Q290" s="5" t="s">
        <v>20</v>
      </c>
      <c r="R290" s="5" t="s">
        <v>20</v>
      </c>
      <c r="S290" s="16"/>
      <c r="T290" s="11" t="s">
        <v>20</v>
      </c>
    </row>
    <row r="291" spans="1:20" thickTop="1" thickBot="1" x14ac:dyDescent="0.35">
      <c r="A291" s="3" t="s">
        <v>838</v>
      </c>
      <c r="B291" s="4" t="s">
        <v>839</v>
      </c>
      <c r="C291" s="4">
        <v>2000</v>
      </c>
      <c r="D291" s="5" t="s">
        <v>108</v>
      </c>
      <c r="E291" s="5" t="s">
        <v>39</v>
      </c>
      <c r="F291" s="6">
        <f>216-8</f>
        <v>208</v>
      </c>
      <c r="G291" s="7">
        <v>228</v>
      </c>
      <c r="H291" s="8" t="s">
        <v>15</v>
      </c>
      <c r="I291" s="2">
        <v>417</v>
      </c>
      <c r="J291" s="9" t="s">
        <v>840</v>
      </c>
      <c r="K291" s="4" t="s">
        <v>841</v>
      </c>
      <c r="L291" s="4" t="str">
        <f>""</f>
        <v/>
      </c>
      <c r="M291" s="4" t="str">
        <f>""</f>
        <v/>
      </c>
      <c r="N291" s="10">
        <v>44833</v>
      </c>
      <c r="O291" s="41" t="s">
        <v>986</v>
      </c>
      <c r="P291" s="5" t="s">
        <v>19</v>
      </c>
      <c r="Q291" s="10" t="s">
        <v>19</v>
      </c>
      <c r="R291" s="5" t="s">
        <v>20</v>
      </c>
      <c r="S291" s="2" t="str">
        <f>""</f>
        <v/>
      </c>
      <c r="T291" s="11" t="s">
        <v>20</v>
      </c>
    </row>
    <row r="292" spans="1:20" thickTop="1" thickBot="1" x14ac:dyDescent="0.35">
      <c r="A292" s="3" t="s">
        <v>842</v>
      </c>
      <c r="B292" s="4" t="s">
        <v>55</v>
      </c>
      <c r="C292" s="4">
        <v>2017</v>
      </c>
      <c r="D292" s="5" t="s">
        <v>45</v>
      </c>
      <c r="E292" s="5" t="s">
        <v>46</v>
      </c>
      <c r="F292" s="6">
        <v>555</v>
      </c>
      <c r="G292" s="7">
        <v>580</v>
      </c>
      <c r="H292" s="8" t="s">
        <v>56</v>
      </c>
      <c r="I292" s="2" t="str">
        <f>""</f>
        <v/>
      </c>
      <c r="J292" s="9" t="str">
        <f>""</f>
        <v/>
      </c>
      <c r="K292" s="4" t="s">
        <v>843</v>
      </c>
      <c r="L292" s="4" t="str">
        <f>""</f>
        <v/>
      </c>
      <c r="M292" s="4" t="s">
        <v>332</v>
      </c>
      <c r="N292" s="10">
        <v>42979</v>
      </c>
      <c r="O292" s="41"/>
      <c r="P292" s="5" t="s">
        <v>19</v>
      </c>
      <c r="Q292" s="10" t="s">
        <v>19</v>
      </c>
      <c r="R292" s="5" t="s">
        <v>19</v>
      </c>
      <c r="S292" s="5" t="s">
        <v>19</v>
      </c>
      <c r="T292" s="11" t="s">
        <v>20</v>
      </c>
    </row>
    <row r="293" spans="1:20" thickTop="1" thickBot="1" x14ac:dyDescent="0.35">
      <c r="A293" s="3" t="s">
        <v>1134</v>
      </c>
      <c r="B293" s="4" t="s">
        <v>1135</v>
      </c>
      <c r="C293" s="4">
        <v>2007</v>
      </c>
      <c r="D293" s="5" t="s">
        <v>1097</v>
      </c>
      <c r="E293" s="5" t="s">
        <v>39</v>
      </c>
      <c r="F293" s="6">
        <v>23</v>
      </c>
      <c r="G293" s="7">
        <v>30</v>
      </c>
      <c r="H293" s="8" t="s">
        <v>1136</v>
      </c>
      <c r="K293" s="4" t="s">
        <v>1137</v>
      </c>
      <c r="M293" s="2"/>
      <c r="N293" s="2"/>
      <c r="O293" s="42">
        <v>16</v>
      </c>
      <c r="P293" s="5" t="s">
        <v>19</v>
      </c>
      <c r="Q293" s="5" t="s">
        <v>19</v>
      </c>
      <c r="R293" s="5" t="s">
        <v>19</v>
      </c>
      <c r="S293" s="43" t="s">
        <v>20</v>
      </c>
      <c r="T293" s="11" t="s">
        <v>20</v>
      </c>
    </row>
    <row r="294" spans="1:20" thickTop="1" thickBot="1" x14ac:dyDescent="0.35">
      <c r="A294" s="3" t="s">
        <v>844</v>
      </c>
      <c r="B294" s="4" t="s">
        <v>339</v>
      </c>
      <c r="C294" s="4">
        <v>1532</v>
      </c>
      <c r="D294" s="5" t="s">
        <v>13</v>
      </c>
      <c r="E294" s="5" t="s">
        <v>39</v>
      </c>
      <c r="F294" s="6">
        <f>433-28</f>
        <v>405</v>
      </c>
      <c r="G294" s="7">
        <v>450</v>
      </c>
      <c r="H294" s="8" t="s">
        <v>15</v>
      </c>
      <c r="I294" s="2">
        <v>387</v>
      </c>
      <c r="J294" s="9" t="s">
        <v>25</v>
      </c>
      <c r="K294" s="4" t="s">
        <v>845</v>
      </c>
      <c r="L294" s="4" t="s">
        <v>846</v>
      </c>
      <c r="M294" s="2" t="str">
        <f>""</f>
        <v/>
      </c>
      <c r="N294" s="15">
        <v>44691</v>
      </c>
      <c r="O294" s="42" t="s">
        <v>985</v>
      </c>
      <c r="P294" s="5" t="s">
        <v>19</v>
      </c>
      <c r="Q294" s="10" t="s">
        <v>19</v>
      </c>
      <c r="R294" s="5" t="s">
        <v>19</v>
      </c>
      <c r="S294" s="5" t="s">
        <v>20</v>
      </c>
      <c r="T294" s="11" t="s">
        <v>20</v>
      </c>
    </row>
    <row r="295" spans="1:20" thickTop="1" thickBot="1" x14ac:dyDescent="0.35">
      <c r="A295" s="3" t="s">
        <v>847</v>
      </c>
      <c r="B295" s="4" t="s">
        <v>29</v>
      </c>
      <c r="C295" s="4">
        <v>1886</v>
      </c>
      <c r="D295" s="5" t="s">
        <v>30</v>
      </c>
      <c r="E295" s="5" t="s">
        <v>31</v>
      </c>
      <c r="F295" s="6">
        <f>212-16</f>
        <v>196</v>
      </c>
      <c r="G295" s="7">
        <v>268</v>
      </c>
      <c r="H295" s="8" t="s">
        <v>15</v>
      </c>
      <c r="I295" s="2">
        <v>70</v>
      </c>
      <c r="J295" s="9" t="s">
        <v>840</v>
      </c>
      <c r="K295" s="4" t="s">
        <v>848</v>
      </c>
      <c r="L295" s="4" t="str">
        <f>""</f>
        <v/>
      </c>
      <c r="M295" s="2" t="s">
        <v>849</v>
      </c>
      <c r="N295" s="10">
        <v>44013</v>
      </c>
      <c r="O295" s="41" t="s">
        <v>986</v>
      </c>
      <c r="P295" s="5" t="s">
        <v>19</v>
      </c>
      <c r="Q295" s="10" t="s">
        <v>19</v>
      </c>
      <c r="R295" s="5" t="s">
        <v>20</v>
      </c>
      <c r="S295" s="2" t="str">
        <f>""</f>
        <v/>
      </c>
      <c r="T295" s="11" t="s">
        <v>20</v>
      </c>
    </row>
    <row r="296" spans="1:20" thickTop="1" thickBot="1" x14ac:dyDescent="0.35">
      <c r="A296" s="3" t="s">
        <v>850</v>
      </c>
      <c r="B296" s="4" t="s">
        <v>851</v>
      </c>
      <c r="C296" s="4">
        <v>1946</v>
      </c>
      <c r="D296" s="5" t="s">
        <v>38</v>
      </c>
      <c r="E296" s="5" t="s">
        <v>39</v>
      </c>
      <c r="F296" s="6">
        <f>248-4</f>
        <v>244</v>
      </c>
      <c r="G296" s="7">
        <v>274</v>
      </c>
      <c r="H296" s="8" t="s">
        <v>15</v>
      </c>
      <c r="I296" s="2">
        <v>762</v>
      </c>
      <c r="J296" s="9" t="s">
        <v>16</v>
      </c>
      <c r="K296" s="4" t="s">
        <v>852</v>
      </c>
      <c r="L296" s="2" t="str">
        <f>""</f>
        <v/>
      </c>
      <c r="M296" s="4" t="str">
        <f>""</f>
        <v/>
      </c>
      <c r="N296" s="15">
        <v>43558</v>
      </c>
      <c r="O296" s="42" t="s">
        <v>989</v>
      </c>
      <c r="P296" s="5" t="s">
        <v>19</v>
      </c>
      <c r="Q296" s="10" t="s">
        <v>19</v>
      </c>
      <c r="R296" s="5" t="s">
        <v>20</v>
      </c>
      <c r="S296" s="5" t="str">
        <f>""</f>
        <v/>
      </c>
      <c r="T296" s="11" t="s">
        <v>20</v>
      </c>
    </row>
    <row r="297" spans="1:20" thickTop="1" thickBot="1" x14ac:dyDescent="0.35">
      <c r="A297" s="3" t="s">
        <v>853</v>
      </c>
      <c r="B297" s="4" t="s">
        <v>565</v>
      </c>
      <c r="C297" s="4">
        <v>1838</v>
      </c>
      <c r="D297" s="5" t="s">
        <v>13</v>
      </c>
      <c r="E297" s="5" t="s">
        <v>39</v>
      </c>
      <c r="F297" s="6">
        <f>208-26</f>
        <v>182</v>
      </c>
      <c r="G297" s="7">
        <v>260</v>
      </c>
      <c r="H297" s="8" t="s">
        <v>15</v>
      </c>
      <c r="I297" s="2">
        <v>3689</v>
      </c>
      <c r="J297" s="9" t="s">
        <v>25</v>
      </c>
      <c r="K297" s="4" t="s">
        <v>854</v>
      </c>
      <c r="L297" s="2" t="s">
        <v>855</v>
      </c>
      <c r="M297" s="2" t="str">
        <f>""</f>
        <v/>
      </c>
      <c r="N297" s="15">
        <v>44355</v>
      </c>
      <c r="O297" s="42" t="s">
        <v>1007</v>
      </c>
      <c r="P297" s="5" t="s">
        <v>19</v>
      </c>
      <c r="Q297" s="10" t="s">
        <v>19</v>
      </c>
      <c r="R297" s="5" t="s">
        <v>20</v>
      </c>
      <c r="S297" s="5" t="str">
        <f>""</f>
        <v/>
      </c>
      <c r="T297" s="11" t="s">
        <v>20</v>
      </c>
    </row>
    <row r="298" spans="1:20" thickTop="1" thickBot="1" x14ac:dyDescent="0.35">
      <c r="A298" s="3" t="s">
        <v>856</v>
      </c>
      <c r="B298" s="4" t="s">
        <v>857</v>
      </c>
      <c r="C298" s="4">
        <v>1670</v>
      </c>
      <c r="D298" s="5" t="s">
        <v>30</v>
      </c>
      <c r="E298" s="5" t="s">
        <v>39</v>
      </c>
      <c r="F298" s="6">
        <f>406-40</f>
        <v>366</v>
      </c>
      <c r="G298" s="7">
        <v>452</v>
      </c>
      <c r="H298" s="8" t="s">
        <v>15</v>
      </c>
      <c r="I298" s="2">
        <v>266</v>
      </c>
      <c r="J298" s="9" t="s">
        <v>32</v>
      </c>
      <c r="K298" s="4" t="s">
        <v>858</v>
      </c>
      <c r="L298" s="4" t="s">
        <v>859</v>
      </c>
      <c r="M298" s="2" t="str">
        <f>""</f>
        <v/>
      </c>
      <c r="N298" s="15">
        <v>44501</v>
      </c>
      <c r="O298" s="42"/>
      <c r="P298" s="5" t="s">
        <v>19</v>
      </c>
      <c r="Q298" s="10" t="s">
        <v>19</v>
      </c>
      <c r="R298" s="5" t="s">
        <v>20</v>
      </c>
      <c r="S298" s="2" t="str">
        <f>""</f>
        <v/>
      </c>
      <c r="T298" s="11" t="s">
        <v>20</v>
      </c>
    </row>
    <row r="299" spans="1:20" thickTop="1" thickBot="1" x14ac:dyDescent="0.35">
      <c r="A299" s="3" t="s">
        <v>860</v>
      </c>
      <c r="B299" s="4" t="s">
        <v>861</v>
      </c>
      <c r="C299" s="4">
        <v>180</v>
      </c>
      <c r="D299" s="5" t="s">
        <v>30</v>
      </c>
      <c r="E299" s="5" t="s">
        <v>24</v>
      </c>
      <c r="F299" s="6">
        <f>176-30</f>
        <v>146</v>
      </c>
      <c r="G299" s="7">
        <f>228/2</f>
        <v>114</v>
      </c>
      <c r="H299" s="8" t="s">
        <v>15</v>
      </c>
      <c r="I299" s="2">
        <v>16</v>
      </c>
      <c r="J299" s="9" t="s">
        <v>32</v>
      </c>
      <c r="K299" s="4" t="s">
        <v>799</v>
      </c>
      <c r="L299" s="4" t="s">
        <v>800</v>
      </c>
      <c r="M299" s="4" t="s">
        <v>800</v>
      </c>
      <c r="N299" s="2" t="str">
        <f>""</f>
        <v/>
      </c>
      <c r="O299" s="42"/>
      <c r="P299" s="5" t="s">
        <v>19</v>
      </c>
      <c r="Q299" s="10" t="s">
        <v>19</v>
      </c>
      <c r="R299" s="5" t="s">
        <v>20</v>
      </c>
      <c r="S299" s="5" t="str">
        <f>""</f>
        <v/>
      </c>
      <c r="T299" s="11" t="s">
        <v>20</v>
      </c>
    </row>
    <row r="300" spans="1:20" thickTop="1" thickBot="1" x14ac:dyDescent="0.35">
      <c r="A300" s="3" t="s">
        <v>1202</v>
      </c>
      <c r="B300" s="4" t="s">
        <v>1203</v>
      </c>
      <c r="C300" s="4">
        <v>2003</v>
      </c>
      <c r="D300" s="5" t="s">
        <v>1097</v>
      </c>
      <c r="E300" s="5" t="s">
        <v>39</v>
      </c>
      <c r="F300" s="6">
        <v>26</v>
      </c>
      <c r="G300" s="7">
        <v>28</v>
      </c>
      <c r="H300" s="8" t="s">
        <v>1192</v>
      </c>
      <c r="K300" s="4" t="s">
        <v>1204</v>
      </c>
      <c r="O300" s="41">
        <v>11.2</v>
      </c>
      <c r="P300" s="5" t="s">
        <v>19</v>
      </c>
      <c r="Q300" s="5" t="s">
        <v>19</v>
      </c>
      <c r="R300" s="5" t="s">
        <v>19</v>
      </c>
      <c r="S300" s="16" t="s">
        <v>20</v>
      </c>
      <c r="T300" s="11" t="s">
        <v>20</v>
      </c>
    </row>
    <row r="301" spans="1:20" thickTop="1" thickBot="1" x14ac:dyDescent="0.35">
      <c r="A301" s="3" t="s">
        <v>862</v>
      </c>
      <c r="B301" s="4" t="s">
        <v>80</v>
      </c>
      <c r="C301" s="4">
        <v>-370</v>
      </c>
      <c r="D301" s="5" t="s">
        <v>30</v>
      </c>
      <c r="E301" s="5" t="s">
        <v>75</v>
      </c>
      <c r="F301" s="6">
        <f>176-72</f>
        <v>104</v>
      </c>
      <c r="G301" s="7">
        <v>308</v>
      </c>
      <c r="H301" s="8" t="s">
        <v>15</v>
      </c>
      <c r="I301" s="2">
        <v>1498</v>
      </c>
      <c r="J301" s="9" t="s">
        <v>32</v>
      </c>
      <c r="K301" s="4" t="s">
        <v>863</v>
      </c>
      <c r="L301" s="2" t="s">
        <v>82</v>
      </c>
      <c r="M301" s="4" t="s">
        <v>82</v>
      </c>
      <c r="N301" s="10">
        <v>44774</v>
      </c>
      <c r="O301" s="41">
        <v>6.5</v>
      </c>
      <c r="P301" s="5" t="s">
        <v>19</v>
      </c>
      <c r="Q301" s="10" t="s">
        <v>19</v>
      </c>
      <c r="R301" s="5" t="s">
        <v>20</v>
      </c>
      <c r="S301" s="5" t="str">
        <f>""</f>
        <v/>
      </c>
      <c r="T301" s="11" t="s">
        <v>20</v>
      </c>
    </row>
    <row r="302" spans="1:20" thickTop="1" thickBot="1" x14ac:dyDescent="0.35">
      <c r="A302" s="3" t="s">
        <v>862</v>
      </c>
      <c r="B302" s="4" t="s">
        <v>22</v>
      </c>
      <c r="C302" s="4">
        <v>65</v>
      </c>
      <c r="D302" s="5" t="s">
        <v>23</v>
      </c>
      <c r="E302" s="5" t="s">
        <v>24</v>
      </c>
      <c r="F302" s="6">
        <f>541-468</f>
        <v>73</v>
      </c>
      <c r="G302" s="7">
        <v>111</v>
      </c>
      <c r="H302" s="8" t="s">
        <v>15</v>
      </c>
      <c r="I302" s="2">
        <v>7143</v>
      </c>
      <c r="J302" s="9" t="s">
        <v>25</v>
      </c>
      <c r="K302" s="4" t="s">
        <v>26</v>
      </c>
      <c r="L302" s="4" t="s">
        <v>27</v>
      </c>
      <c r="M302" s="4" t="s">
        <v>27</v>
      </c>
      <c r="N302" s="10">
        <v>44867</v>
      </c>
      <c r="O302" s="41">
        <v>0</v>
      </c>
      <c r="P302" s="5" t="s">
        <v>20</v>
      </c>
      <c r="Q302" s="10" t="s">
        <v>19</v>
      </c>
      <c r="R302" s="5" t="s">
        <v>19</v>
      </c>
      <c r="S302" s="5" t="s">
        <v>19</v>
      </c>
      <c r="T302" s="11" t="s">
        <v>20</v>
      </c>
    </row>
    <row r="303" spans="1:20" thickTop="1" thickBot="1" x14ac:dyDescent="0.35">
      <c r="A303" s="3" t="s">
        <v>862</v>
      </c>
      <c r="B303" s="4" t="s">
        <v>51</v>
      </c>
      <c r="C303" s="4">
        <v>1677</v>
      </c>
      <c r="D303" s="5" t="s">
        <v>23</v>
      </c>
      <c r="E303" s="5" t="s">
        <v>39</v>
      </c>
      <c r="F303" s="6">
        <f>148-64</f>
        <v>84</v>
      </c>
      <c r="G303" s="7">
        <v>232</v>
      </c>
      <c r="H303" s="8" t="s">
        <v>15</v>
      </c>
      <c r="I303" s="2">
        <v>1426</v>
      </c>
      <c r="J303" s="9" t="s">
        <v>32</v>
      </c>
      <c r="K303" s="4" t="s">
        <v>1002</v>
      </c>
      <c r="L303" s="4" t="s">
        <v>1003</v>
      </c>
      <c r="M303" s="4" t="str">
        <f>""</f>
        <v/>
      </c>
      <c r="N303" s="10">
        <v>45323</v>
      </c>
      <c r="O303" s="41">
        <v>2.9</v>
      </c>
      <c r="P303" s="5" t="s">
        <v>19</v>
      </c>
      <c r="Q303" s="10" t="s">
        <v>19</v>
      </c>
      <c r="R303" s="5" t="s">
        <v>19</v>
      </c>
      <c r="S303" s="2" t="s">
        <v>19</v>
      </c>
      <c r="T303" s="11" t="s">
        <v>20</v>
      </c>
    </row>
    <row r="304" spans="1:20" thickTop="1" thickBot="1" x14ac:dyDescent="0.35">
      <c r="A304" s="3" t="s">
        <v>864</v>
      </c>
      <c r="B304" s="4" t="s">
        <v>865</v>
      </c>
      <c r="C304" s="4">
        <v>1807</v>
      </c>
      <c r="D304" s="5" t="s">
        <v>30</v>
      </c>
      <c r="E304" s="5" t="s">
        <v>31</v>
      </c>
      <c r="F304" s="6">
        <f>652-50</f>
        <v>602</v>
      </c>
      <c r="G304" s="7">
        <v>692</v>
      </c>
      <c r="H304" s="8" t="s">
        <v>15</v>
      </c>
      <c r="I304" s="2">
        <v>1493</v>
      </c>
      <c r="J304" s="2" t="s">
        <v>32</v>
      </c>
      <c r="K304" s="4" t="s">
        <v>866</v>
      </c>
      <c r="L304" s="2" t="s">
        <v>867</v>
      </c>
      <c r="M304" s="2" t="s">
        <v>867</v>
      </c>
      <c r="N304" s="5" t="str">
        <f>""</f>
        <v/>
      </c>
      <c r="O304" s="41"/>
      <c r="P304" s="5" t="s">
        <v>19</v>
      </c>
      <c r="Q304" s="10" t="s">
        <v>19</v>
      </c>
      <c r="R304" s="5" t="s">
        <v>20</v>
      </c>
      <c r="S304" s="2" t="str">
        <f>""</f>
        <v/>
      </c>
      <c r="T304" s="11" t="s">
        <v>20</v>
      </c>
    </row>
    <row r="305" spans="1:26" s="20" customFormat="1" thickTop="1" thickBot="1" x14ac:dyDescent="0.35">
      <c r="A305" s="3" t="s">
        <v>868</v>
      </c>
      <c r="B305" s="4" t="s">
        <v>200</v>
      </c>
      <c r="C305" s="4">
        <v>-350</v>
      </c>
      <c r="D305" s="5" t="s">
        <v>30</v>
      </c>
      <c r="E305" s="5" t="s">
        <v>75</v>
      </c>
      <c r="F305" s="6">
        <f>448-66</f>
        <v>382</v>
      </c>
      <c r="G305" s="7">
        <v>484</v>
      </c>
      <c r="H305" s="8" t="s">
        <v>15</v>
      </c>
      <c r="I305" s="2">
        <v>887</v>
      </c>
      <c r="J305" s="9" t="s">
        <v>32</v>
      </c>
      <c r="K305" s="4" t="s">
        <v>869</v>
      </c>
      <c r="L305" s="2" t="s">
        <v>383</v>
      </c>
      <c r="M305" s="2" t="s">
        <v>383</v>
      </c>
      <c r="N305" s="10">
        <v>43983</v>
      </c>
      <c r="O305" s="41"/>
      <c r="P305" s="5" t="s">
        <v>19</v>
      </c>
      <c r="Q305" s="10" t="s">
        <v>19</v>
      </c>
      <c r="R305" s="5" t="s">
        <v>20</v>
      </c>
      <c r="S305" s="5" t="str">
        <f>""</f>
        <v/>
      </c>
      <c r="T305" s="11" t="s">
        <v>20</v>
      </c>
      <c r="U305" s="19"/>
      <c r="V305" s="19"/>
      <c r="W305" s="19"/>
      <c r="X305" s="19"/>
      <c r="Y305" s="19"/>
      <c r="Z305" s="19"/>
    </row>
    <row r="306" spans="1:26" thickTop="1" thickBot="1" x14ac:dyDescent="0.35">
      <c r="A306" s="3" t="s">
        <v>870</v>
      </c>
      <c r="B306" s="4" t="s">
        <v>871</v>
      </c>
      <c r="C306" s="4">
        <v>2013</v>
      </c>
      <c r="D306" s="5" t="s">
        <v>85</v>
      </c>
      <c r="E306" s="5" t="s">
        <v>39</v>
      </c>
      <c r="F306" s="6">
        <f>875+8</f>
        <v>883</v>
      </c>
      <c r="G306" s="7">
        <f>894+8+2</f>
        <v>904</v>
      </c>
      <c r="H306" s="8" t="s">
        <v>139</v>
      </c>
      <c r="I306" s="2" t="str">
        <f>""</f>
        <v/>
      </c>
      <c r="J306" s="9" t="s">
        <v>140</v>
      </c>
      <c r="K306" s="4" t="s">
        <v>872</v>
      </c>
      <c r="L306" s="4" t="str">
        <f>""</f>
        <v/>
      </c>
      <c r="M306" s="4" t="str">
        <f>""</f>
        <v/>
      </c>
      <c r="N306" s="10">
        <v>41426</v>
      </c>
      <c r="O306" s="41"/>
      <c r="P306" s="5" t="s">
        <v>19</v>
      </c>
      <c r="Q306" s="10" t="s">
        <v>19</v>
      </c>
      <c r="R306" s="5" t="s">
        <v>19</v>
      </c>
      <c r="S306" s="5" t="s">
        <v>20</v>
      </c>
      <c r="T306" s="11" t="s">
        <v>20</v>
      </c>
    </row>
    <row r="307" spans="1:26" thickTop="1" thickBot="1" x14ac:dyDescent="0.35">
      <c r="A307" s="3" t="s">
        <v>1244</v>
      </c>
      <c r="B307" s="4" t="s">
        <v>1245</v>
      </c>
      <c r="C307" s="4">
        <v>2014</v>
      </c>
      <c r="D307" s="5" t="s">
        <v>85</v>
      </c>
      <c r="E307" s="5" t="s">
        <v>39</v>
      </c>
      <c r="F307" s="6">
        <f>668</f>
        <v>668</v>
      </c>
      <c r="G307" s="7">
        <v>684</v>
      </c>
      <c r="H307" s="8" t="s">
        <v>139</v>
      </c>
      <c r="J307" s="9" t="s">
        <v>140</v>
      </c>
      <c r="K307" s="4" t="s">
        <v>1246</v>
      </c>
      <c r="N307" s="13">
        <v>41791</v>
      </c>
      <c r="O307" s="41">
        <v>41.39</v>
      </c>
      <c r="P307" s="5" t="s">
        <v>19</v>
      </c>
      <c r="Q307" s="5" t="s">
        <v>19</v>
      </c>
      <c r="R307" s="5" t="s">
        <v>20</v>
      </c>
      <c r="S307" s="16"/>
      <c r="T307" s="11" t="s">
        <v>20</v>
      </c>
    </row>
    <row r="308" spans="1:26" thickTop="1" thickBot="1" x14ac:dyDescent="0.35">
      <c r="A308" s="3" t="s">
        <v>873</v>
      </c>
      <c r="B308" s="4" t="s">
        <v>103</v>
      </c>
      <c r="C308" s="4">
        <v>1887</v>
      </c>
      <c r="D308" s="5" t="s">
        <v>13</v>
      </c>
      <c r="E308" s="5" t="s">
        <v>39</v>
      </c>
      <c r="F308" s="6">
        <f>230-44</f>
        <v>186</v>
      </c>
      <c r="G308" s="7">
        <v>324</v>
      </c>
      <c r="H308" s="8" t="s">
        <v>15</v>
      </c>
      <c r="I308" s="2">
        <v>3250</v>
      </c>
      <c r="J308" s="9" t="s">
        <v>25</v>
      </c>
      <c r="K308" s="4" t="s">
        <v>874</v>
      </c>
      <c r="L308" s="4" t="s">
        <v>875</v>
      </c>
      <c r="M308" s="4" t="str">
        <f>""</f>
        <v/>
      </c>
      <c r="N308" s="10">
        <v>45000</v>
      </c>
      <c r="O308" s="41">
        <v>3</v>
      </c>
      <c r="P308" s="5" t="s">
        <v>19</v>
      </c>
      <c r="Q308" s="10" t="s">
        <v>19</v>
      </c>
      <c r="R308" s="5" t="s">
        <v>20</v>
      </c>
      <c r="S308" s="5" t="str">
        <f>""</f>
        <v/>
      </c>
      <c r="T308" s="11" t="s">
        <v>20</v>
      </c>
    </row>
    <row r="309" spans="1:26" thickTop="1" thickBot="1" x14ac:dyDescent="0.35">
      <c r="A309" s="3" t="s">
        <v>876</v>
      </c>
      <c r="B309" s="4" t="s">
        <v>311</v>
      </c>
      <c r="C309" s="4">
        <v>1840</v>
      </c>
      <c r="D309" s="5" t="s">
        <v>13</v>
      </c>
      <c r="E309" s="5" t="s">
        <v>39</v>
      </c>
      <c r="F309" s="6">
        <v>175</v>
      </c>
      <c r="G309" s="7">
        <f>356/2</f>
        <v>178</v>
      </c>
      <c r="H309" s="8" t="s">
        <v>15</v>
      </c>
      <c r="I309" s="2">
        <v>717</v>
      </c>
      <c r="J309" s="9" t="s">
        <v>25</v>
      </c>
      <c r="K309" s="4" t="s">
        <v>570</v>
      </c>
      <c r="L309" s="4" t="s">
        <v>571</v>
      </c>
      <c r="M309" s="4" t="str">
        <f>""</f>
        <v/>
      </c>
      <c r="N309" s="10">
        <v>43844</v>
      </c>
      <c r="O309" s="41">
        <v>0</v>
      </c>
      <c r="P309" s="5" t="s">
        <v>19</v>
      </c>
      <c r="Q309" s="10" t="s">
        <v>19</v>
      </c>
      <c r="R309" s="5" t="s">
        <v>19</v>
      </c>
      <c r="S309" s="5" t="s">
        <v>20</v>
      </c>
      <c r="T309" s="11" t="s">
        <v>20</v>
      </c>
    </row>
    <row r="310" spans="1:26" thickTop="1" thickBot="1" x14ac:dyDescent="0.35">
      <c r="A310" s="3" t="s">
        <v>1012</v>
      </c>
      <c r="B310" s="4" t="s">
        <v>1013</v>
      </c>
      <c r="C310" s="4">
        <v>1846</v>
      </c>
      <c r="D310" s="5" t="s">
        <v>38</v>
      </c>
      <c r="E310" s="5" t="s">
        <v>14</v>
      </c>
      <c r="F310" s="6">
        <f>227-22</f>
        <v>205</v>
      </c>
      <c r="G310" s="7">
        <v>244</v>
      </c>
      <c r="H310" s="8" t="s">
        <v>131</v>
      </c>
      <c r="I310" s="2">
        <v>171</v>
      </c>
      <c r="J310" s="9" t="s">
        <v>38</v>
      </c>
      <c r="K310" s="4" t="s">
        <v>1014</v>
      </c>
      <c r="M310" s="4" t="s">
        <v>1015</v>
      </c>
      <c r="N310" s="10">
        <v>45054</v>
      </c>
      <c r="O310" s="41">
        <v>10.3</v>
      </c>
      <c r="P310" s="5" t="s">
        <v>19</v>
      </c>
      <c r="Q310" s="5" t="s">
        <v>19</v>
      </c>
      <c r="R310" s="5" t="s">
        <v>20</v>
      </c>
      <c r="S310" s="16"/>
      <c r="T310" s="11" t="s">
        <v>20</v>
      </c>
    </row>
    <row r="311" spans="1:26" thickTop="1" thickBot="1" x14ac:dyDescent="0.35">
      <c r="A311" s="3" t="s">
        <v>877</v>
      </c>
      <c r="B311" s="4" t="s">
        <v>211</v>
      </c>
      <c r="C311" s="4">
        <v>1895</v>
      </c>
      <c r="D311" s="5" t="s">
        <v>38</v>
      </c>
      <c r="E311" s="5" t="s">
        <v>39</v>
      </c>
      <c r="F311" s="6">
        <f>150-137</f>
        <v>13</v>
      </c>
      <c r="G311" s="7">
        <v>37</v>
      </c>
      <c r="H311" s="8" t="s">
        <v>15</v>
      </c>
      <c r="I311" s="2">
        <v>1459</v>
      </c>
      <c r="J311" s="9" t="s">
        <v>32</v>
      </c>
      <c r="K311" s="4" t="s">
        <v>212</v>
      </c>
      <c r="L311" s="4" t="s">
        <v>213</v>
      </c>
      <c r="M311" s="4" t="str">
        <f>""</f>
        <v/>
      </c>
      <c r="N311" s="5" t="str">
        <f>""</f>
        <v/>
      </c>
      <c r="O311" s="41">
        <v>0</v>
      </c>
      <c r="P311" s="5" t="s">
        <v>20</v>
      </c>
      <c r="Q311" s="10" t="s">
        <v>19</v>
      </c>
      <c r="R311" s="5" t="s">
        <v>20</v>
      </c>
      <c r="S311" s="5" t="str">
        <f>""</f>
        <v/>
      </c>
      <c r="T311" s="11" t="s">
        <v>20</v>
      </c>
    </row>
    <row r="312" spans="1:26" thickTop="1" thickBot="1" x14ac:dyDescent="0.35">
      <c r="A312" s="3" t="s">
        <v>878</v>
      </c>
      <c r="B312" s="4" t="s">
        <v>879</v>
      </c>
      <c r="C312" s="4">
        <v>1866</v>
      </c>
      <c r="D312" s="5" t="s">
        <v>38</v>
      </c>
      <c r="E312" s="5" t="s">
        <v>39</v>
      </c>
      <c r="F312" s="6">
        <f>125-18</f>
        <v>107</v>
      </c>
      <c r="G312" s="7">
        <v>228</v>
      </c>
      <c r="H312" s="8" t="s">
        <v>57</v>
      </c>
      <c r="I312" s="2">
        <v>3133</v>
      </c>
      <c r="J312" s="9" t="s">
        <v>69</v>
      </c>
      <c r="K312" s="4" t="s">
        <v>880</v>
      </c>
      <c r="L312" s="4" t="s">
        <v>881</v>
      </c>
      <c r="M312" s="4" t="str">
        <f>""</f>
        <v/>
      </c>
      <c r="N312" s="10">
        <v>44013</v>
      </c>
      <c r="O312" s="41">
        <v>2.9</v>
      </c>
      <c r="P312" s="5" t="s">
        <v>19</v>
      </c>
      <c r="Q312" s="10" t="s">
        <v>19</v>
      </c>
      <c r="R312" s="5" t="s">
        <v>19</v>
      </c>
      <c r="S312" s="5" t="s">
        <v>20</v>
      </c>
      <c r="T312" s="11" t="s">
        <v>20</v>
      </c>
    </row>
    <row r="313" spans="1:26" thickTop="1" thickBot="1" x14ac:dyDescent="0.35">
      <c r="A313" s="3" t="s">
        <v>882</v>
      </c>
      <c r="B313" s="4" t="s">
        <v>211</v>
      </c>
      <c r="C313" s="4">
        <v>1895</v>
      </c>
      <c r="D313" s="5" t="s">
        <v>38</v>
      </c>
      <c r="E313" s="5" t="s">
        <v>39</v>
      </c>
      <c r="F313" s="6">
        <f>136-86</f>
        <v>50</v>
      </c>
      <c r="G313" s="7">
        <v>37</v>
      </c>
      <c r="H313" s="8" t="s">
        <v>15</v>
      </c>
      <c r="I313" s="2">
        <v>1459</v>
      </c>
      <c r="J313" s="9" t="s">
        <v>32</v>
      </c>
      <c r="K313" s="4" t="s">
        <v>212</v>
      </c>
      <c r="L313" s="4" t="s">
        <v>213</v>
      </c>
      <c r="M313" s="4" t="str">
        <f>""</f>
        <v/>
      </c>
      <c r="N313" s="5" t="str">
        <f>""</f>
        <v/>
      </c>
      <c r="O313" s="41">
        <v>0</v>
      </c>
      <c r="P313" s="5" t="s">
        <v>19</v>
      </c>
      <c r="Q313" s="10" t="s">
        <v>19</v>
      </c>
      <c r="R313" s="5" t="s">
        <v>19</v>
      </c>
      <c r="S313" s="5" t="s">
        <v>19</v>
      </c>
      <c r="T313" s="11" t="s">
        <v>20</v>
      </c>
    </row>
    <row r="314" spans="1:26" thickTop="1" thickBot="1" x14ac:dyDescent="0.35">
      <c r="A314" s="3" t="s">
        <v>882</v>
      </c>
      <c r="B314" s="4" t="s">
        <v>99</v>
      </c>
      <c r="C314" s="4">
        <v>1899</v>
      </c>
      <c r="D314" s="5" t="s">
        <v>38</v>
      </c>
      <c r="E314" s="5" t="s">
        <v>39</v>
      </c>
      <c r="F314" s="6">
        <f>72-0</f>
        <v>72</v>
      </c>
      <c r="G314" s="7">
        <f>340/3</f>
        <v>113.33333333333333</v>
      </c>
      <c r="H314" s="8" t="s">
        <v>15</v>
      </c>
      <c r="I314" s="2">
        <v>261</v>
      </c>
      <c r="J314" s="9" t="s">
        <v>38</v>
      </c>
      <c r="K314" s="4" t="s">
        <v>100</v>
      </c>
      <c r="L314" s="4" t="s">
        <v>101</v>
      </c>
      <c r="M314" s="4" t="str">
        <f>""</f>
        <v/>
      </c>
      <c r="N314" s="10">
        <v>44686</v>
      </c>
      <c r="O314" s="41"/>
      <c r="P314" s="5" t="s">
        <v>19</v>
      </c>
      <c r="Q314" s="10" t="s">
        <v>19</v>
      </c>
      <c r="R314" s="5" t="s">
        <v>20</v>
      </c>
      <c r="S314" s="5" t="str">
        <f>""</f>
        <v/>
      </c>
      <c r="T314" s="11" t="s">
        <v>20</v>
      </c>
    </row>
    <row r="315" spans="1:26" thickTop="1" thickBot="1" x14ac:dyDescent="0.35">
      <c r="A315" s="3" t="s">
        <v>883</v>
      </c>
      <c r="B315" s="4" t="s">
        <v>200</v>
      </c>
      <c r="C315" s="4">
        <v>-335</v>
      </c>
      <c r="D315" s="5" t="s">
        <v>30</v>
      </c>
      <c r="E315" s="5" t="s">
        <v>75</v>
      </c>
      <c r="F315" s="6">
        <f>170-88</f>
        <v>82</v>
      </c>
      <c r="G315" s="7">
        <v>276</v>
      </c>
      <c r="H315" s="8" t="s">
        <v>15</v>
      </c>
      <c r="I315" s="2">
        <v>1637</v>
      </c>
      <c r="J315" s="9" t="s">
        <v>32</v>
      </c>
      <c r="K315" s="4" t="s">
        <v>884</v>
      </c>
      <c r="L315" s="4" t="s">
        <v>885</v>
      </c>
      <c r="M315" s="4" t="s">
        <v>885</v>
      </c>
      <c r="N315" s="5" t="str">
        <f>""</f>
        <v/>
      </c>
      <c r="O315" s="41">
        <v>6.9</v>
      </c>
      <c r="P315" s="5" t="s">
        <v>19</v>
      </c>
      <c r="Q315" s="10" t="s">
        <v>19</v>
      </c>
      <c r="R315" s="5" t="s">
        <v>19</v>
      </c>
      <c r="S315" s="5" t="s">
        <v>19</v>
      </c>
      <c r="T315" s="11" t="s">
        <v>20</v>
      </c>
    </row>
    <row r="316" spans="1:26" thickTop="1" thickBot="1" x14ac:dyDescent="0.35">
      <c r="A316" s="3" t="s">
        <v>1030</v>
      </c>
      <c r="B316" s="4" t="s">
        <v>1031</v>
      </c>
      <c r="C316" s="4">
        <v>1940</v>
      </c>
      <c r="D316" s="5" t="s">
        <v>13</v>
      </c>
      <c r="E316" s="5" t="s">
        <v>46</v>
      </c>
      <c r="F316" s="6">
        <f>500-4</f>
        <v>496</v>
      </c>
      <c r="G316" s="7">
        <v>516</v>
      </c>
      <c r="H316" s="8" t="s">
        <v>15</v>
      </c>
      <c r="I316" s="2">
        <v>455</v>
      </c>
      <c r="J316" s="9" t="s">
        <v>16</v>
      </c>
      <c r="K316" s="4" t="s">
        <v>1032</v>
      </c>
      <c r="M316" s="4" t="s">
        <v>1033</v>
      </c>
      <c r="N316" s="10">
        <v>45236</v>
      </c>
      <c r="O316" s="41">
        <v>10</v>
      </c>
      <c r="P316" s="5" t="s">
        <v>19</v>
      </c>
      <c r="Q316" s="10" t="s">
        <v>19</v>
      </c>
      <c r="R316" s="5" t="s">
        <v>20</v>
      </c>
      <c r="S316" s="16"/>
      <c r="T316" s="11" t="s">
        <v>20</v>
      </c>
    </row>
    <row r="317" spans="1:26" thickTop="1" thickBot="1" x14ac:dyDescent="0.35">
      <c r="A317" s="3" t="s">
        <v>886</v>
      </c>
      <c r="B317" s="4" t="s">
        <v>211</v>
      </c>
      <c r="C317" s="4">
        <v>1895</v>
      </c>
      <c r="D317" s="5" t="s">
        <v>38</v>
      </c>
      <c r="E317" s="5" t="s">
        <v>39</v>
      </c>
      <c r="F317" s="6">
        <f>28-10</f>
        <v>18</v>
      </c>
      <c r="G317" s="7">
        <v>37</v>
      </c>
      <c r="H317" s="8" t="s">
        <v>15</v>
      </c>
      <c r="I317" s="2">
        <v>1459</v>
      </c>
      <c r="J317" s="9" t="s">
        <v>32</v>
      </c>
      <c r="K317" s="4" t="s">
        <v>212</v>
      </c>
      <c r="L317" s="4" t="s">
        <v>213</v>
      </c>
      <c r="M317" s="4" t="str">
        <f>""</f>
        <v/>
      </c>
      <c r="N317" s="5" t="str">
        <f>""</f>
        <v/>
      </c>
      <c r="O317" s="41">
        <v>0</v>
      </c>
      <c r="P317" s="5" t="s">
        <v>20</v>
      </c>
      <c r="Q317" s="10" t="s">
        <v>19</v>
      </c>
      <c r="R317" s="5" t="s">
        <v>20</v>
      </c>
      <c r="S317" s="4" t="str">
        <f>""</f>
        <v/>
      </c>
      <c r="T317" s="46" t="s">
        <v>20</v>
      </c>
    </row>
    <row r="318" spans="1:26" thickTop="1" thickBot="1" x14ac:dyDescent="0.35">
      <c r="A318" s="3" t="s">
        <v>887</v>
      </c>
      <c r="B318" s="4" t="s">
        <v>258</v>
      </c>
      <c r="C318" s="4">
        <v>1942</v>
      </c>
      <c r="D318" s="5" t="s">
        <v>38</v>
      </c>
      <c r="E318" s="5" t="s">
        <v>39</v>
      </c>
      <c r="F318" s="6">
        <f>221-102</f>
        <v>119</v>
      </c>
      <c r="G318" s="7">
        <f>242/3</f>
        <v>80.666666666666671</v>
      </c>
      <c r="H318" s="8" t="s">
        <v>131</v>
      </c>
      <c r="I318" s="2">
        <v>16</v>
      </c>
      <c r="J318" s="9" t="s">
        <v>38</v>
      </c>
      <c r="K318" s="4" t="s">
        <v>259</v>
      </c>
      <c r="L318" s="4" t="str">
        <f>""</f>
        <v/>
      </c>
      <c r="M318" s="4" t="str">
        <f>""</f>
        <v/>
      </c>
      <c r="N318" s="10">
        <v>44833</v>
      </c>
      <c r="O318" s="41">
        <v>0</v>
      </c>
      <c r="P318" s="5" t="s">
        <v>20</v>
      </c>
      <c r="Q318" s="10" t="s">
        <v>19</v>
      </c>
      <c r="R318" s="5" t="s">
        <v>20</v>
      </c>
      <c r="S318" s="4" t="str">
        <f>""</f>
        <v/>
      </c>
      <c r="T318" s="46" t="s">
        <v>20</v>
      </c>
    </row>
    <row r="319" spans="1:26" thickTop="1" thickBot="1" x14ac:dyDescent="0.35">
      <c r="A319" s="3" t="s">
        <v>888</v>
      </c>
      <c r="B319" s="4" t="s">
        <v>211</v>
      </c>
      <c r="C319" s="4">
        <v>1895</v>
      </c>
      <c r="D319" s="5" t="s">
        <v>38</v>
      </c>
      <c r="E319" s="5" t="s">
        <v>39</v>
      </c>
      <c r="F319" s="6">
        <f>194-191</f>
        <v>3</v>
      </c>
      <c r="G319" s="7">
        <v>37</v>
      </c>
      <c r="H319" s="8" t="s">
        <v>15</v>
      </c>
      <c r="I319" s="2">
        <v>1459</v>
      </c>
      <c r="J319" s="9" t="s">
        <v>32</v>
      </c>
      <c r="K319" s="4" t="s">
        <v>212</v>
      </c>
      <c r="L319" s="4" t="s">
        <v>213</v>
      </c>
      <c r="M319" s="4" t="str">
        <f>""</f>
        <v/>
      </c>
      <c r="N319" s="5" t="str">
        <f>""</f>
        <v/>
      </c>
      <c r="O319" s="41">
        <v>0</v>
      </c>
      <c r="P319" s="5" t="s">
        <v>20</v>
      </c>
      <c r="Q319" s="10" t="s">
        <v>19</v>
      </c>
      <c r="R319" s="5" t="s">
        <v>20</v>
      </c>
      <c r="S319" s="4" t="str">
        <f>""</f>
        <v/>
      </c>
      <c r="T319" s="46" t="s">
        <v>20</v>
      </c>
    </row>
    <row r="320" spans="1:26" thickTop="1" thickBot="1" x14ac:dyDescent="0.35">
      <c r="A320" s="3" t="s">
        <v>889</v>
      </c>
      <c r="B320" s="4" t="s">
        <v>211</v>
      </c>
      <c r="C320" s="4">
        <v>1895</v>
      </c>
      <c r="D320" s="5" t="s">
        <v>38</v>
      </c>
      <c r="E320" s="5" t="s">
        <v>39</v>
      </c>
      <c r="F320" s="6">
        <f>62-29</f>
        <v>33</v>
      </c>
      <c r="G320" s="7">
        <v>37</v>
      </c>
      <c r="H320" s="8" t="s">
        <v>15</v>
      </c>
      <c r="I320" s="2">
        <v>1459</v>
      </c>
      <c r="J320" s="9" t="s">
        <v>32</v>
      </c>
      <c r="K320" s="4" t="s">
        <v>212</v>
      </c>
      <c r="L320" s="4" t="s">
        <v>213</v>
      </c>
      <c r="M320" s="4" t="str">
        <f>""</f>
        <v/>
      </c>
      <c r="N320" s="5" t="str">
        <f>""</f>
        <v/>
      </c>
      <c r="O320" s="41">
        <v>0</v>
      </c>
      <c r="P320" s="5" t="s">
        <v>20</v>
      </c>
      <c r="Q320" s="10" t="s">
        <v>19</v>
      </c>
      <c r="R320" s="5" t="s">
        <v>19</v>
      </c>
      <c r="S320" s="4" t="s">
        <v>19</v>
      </c>
      <c r="T320" s="46" t="s">
        <v>20</v>
      </c>
    </row>
    <row r="321" spans="1:20" thickTop="1" thickBot="1" x14ac:dyDescent="0.35">
      <c r="A321" s="3" t="s">
        <v>890</v>
      </c>
      <c r="B321" s="4" t="s">
        <v>891</v>
      </c>
      <c r="C321" s="4">
        <v>2022</v>
      </c>
      <c r="D321" s="5" t="s">
        <v>108</v>
      </c>
      <c r="E321" s="5" t="s">
        <v>31</v>
      </c>
      <c r="F321" s="6">
        <f>483-2</f>
        <v>481</v>
      </c>
      <c r="G321" s="7">
        <v>494</v>
      </c>
      <c r="H321" s="8" t="s">
        <v>91</v>
      </c>
      <c r="I321" s="2" t="str">
        <f>""</f>
        <v/>
      </c>
      <c r="J321" s="9" t="s">
        <v>109</v>
      </c>
      <c r="K321" s="4" t="s">
        <v>892</v>
      </c>
      <c r="L321" s="4" t="str">
        <f>""</f>
        <v/>
      </c>
      <c r="M321" s="4" t="str">
        <f>""</f>
        <v/>
      </c>
      <c r="N321" s="5" t="str">
        <f>""</f>
        <v/>
      </c>
      <c r="O321" s="41"/>
      <c r="P321" s="5" t="s">
        <v>19</v>
      </c>
      <c r="Q321" s="10" t="s">
        <v>19</v>
      </c>
      <c r="R321" s="5" t="s">
        <v>20</v>
      </c>
      <c r="S321" s="4" t="str">
        <f>""</f>
        <v/>
      </c>
      <c r="T321" s="46" t="s">
        <v>20</v>
      </c>
    </row>
    <row r="322" spans="1:20" thickTop="1" thickBot="1" x14ac:dyDescent="0.35">
      <c r="A322" s="3" t="s">
        <v>893</v>
      </c>
      <c r="B322" s="4" t="s">
        <v>200</v>
      </c>
      <c r="C322" s="4">
        <v>-323</v>
      </c>
      <c r="D322" s="5" t="s">
        <v>30</v>
      </c>
      <c r="E322" s="5" t="s">
        <v>75</v>
      </c>
      <c r="F322" s="6">
        <f>526-108</f>
        <v>418</v>
      </c>
      <c r="G322" s="7">
        <v>580</v>
      </c>
      <c r="H322" s="8" t="s">
        <v>15</v>
      </c>
      <c r="I322" s="2">
        <v>1135</v>
      </c>
      <c r="J322" s="9" t="s">
        <v>32</v>
      </c>
      <c r="K322" s="4" t="s">
        <v>894</v>
      </c>
      <c r="L322" s="4" t="s">
        <v>895</v>
      </c>
      <c r="M322" s="4" t="s">
        <v>895</v>
      </c>
      <c r="N322" s="10">
        <v>43739</v>
      </c>
      <c r="O322" s="41">
        <v>12.5</v>
      </c>
      <c r="P322" s="5" t="s">
        <v>19</v>
      </c>
      <c r="Q322" s="10" t="s">
        <v>19</v>
      </c>
      <c r="R322" s="5" t="s">
        <v>20</v>
      </c>
      <c r="S322" s="4" t="str">
        <f>""</f>
        <v/>
      </c>
      <c r="T322" s="46" t="s">
        <v>20</v>
      </c>
    </row>
    <row r="323" spans="1:20" thickTop="1" thickBot="1" x14ac:dyDescent="0.35">
      <c r="A323" s="3" t="s">
        <v>896</v>
      </c>
      <c r="B323" s="4" t="s">
        <v>897</v>
      </c>
      <c r="C323" s="4">
        <v>1959</v>
      </c>
      <c r="D323" s="5" t="s">
        <v>23</v>
      </c>
      <c r="E323" s="5" t="s">
        <v>39</v>
      </c>
      <c r="F323" s="6">
        <f>246-4</f>
        <v>242</v>
      </c>
      <c r="G323" s="7">
        <v>260</v>
      </c>
      <c r="H323" s="8" t="s">
        <v>15</v>
      </c>
      <c r="I323" s="2">
        <v>816</v>
      </c>
      <c r="J323" s="9" t="s">
        <v>16</v>
      </c>
      <c r="K323" s="4" t="s">
        <v>898</v>
      </c>
      <c r="L323" s="4" t="str">
        <f>""</f>
        <v/>
      </c>
      <c r="M323" s="4" t="str">
        <f>""</f>
        <v/>
      </c>
      <c r="N323" s="10">
        <v>43928</v>
      </c>
      <c r="O323" s="41" t="s">
        <v>989</v>
      </c>
      <c r="P323" s="5" t="s">
        <v>19</v>
      </c>
      <c r="Q323" s="10" t="s">
        <v>19</v>
      </c>
      <c r="R323" s="5" t="s">
        <v>19</v>
      </c>
      <c r="S323" s="4" t="s">
        <v>19</v>
      </c>
      <c r="T323" s="46" t="s">
        <v>20</v>
      </c>
    </row>
    <row r="324" spans="1:20" thickTop="1" thickBot="1" x14ac:dyDescent="0.35">
      <c r="A324" s="3" t="s">
        <v>899</v>
      </c>
      <c r="B324" s="4" t="s">
        <v>436</v>
      </c>
      <c r="C324" s="4">
        <v>1308</v>
      </c>
      <c r="D324" s="5" t="s">
        <v>38</v>
      </c>
      <c r="E324" s="5" t="s">
        <v>130</v>
      </c>
      <c r="F324" s="6">
        <f>367-40</f>
        <v>327</v>
      </c>
      <c r="G324" s="7">
        <v>420</v>
      </c>
      <c r="H324" s="8" t="s">
        <v>15</v>
      </c>
      <c r="I324" s="2">
        <v>1629</v>
      </c>
      <c r="J324" s="9" t="s">
        <v>32</v>
      </c>
      <c r="K324" s="4" t="s">
        <v>900</v>
      </c>
      <c r="L324" s="4" t="s">
        <v>438</v>
      </c>
      <c r="M324" s="4" t="s">
        <v>438</v>
      </c>
      <c r="N324" s="10">
        <v>44197</v>
      </c>
      <c r="O324" s="41"/>
      <c r="P324" s="5" t="s">
        <v>19</v>
      </c>
      <c r="Q324" s="10" t="s">
        <v>19</v>
      </c>
      <c r="R324" s="5" t="s">
        <v>19</v>
      </c>
      <c r="S324" s="4" t="s">
        <v>19</v>
      </c>
      <c r="T324" s="46" t="s">
        <v>20</v>
      </c>
    </row>
    <row r="325" spans="1:20" thickTop="1" thickBot="1" x14ac:dyDescent="0.35">
      <c r="A325" s="3" t="s">
        <v>901</v>
      </c>
      <c r="B325" s="4" t="s">
        <v>782</v>
      </c>
      <c r="C325" s="4">
        <v>1970</v>
      </c>
      <c r="D325" s="5" t="s">
        <v>386</v>
      </c>
      <c r="E325" s="5" t="s">
        <v>783</v>
      </c>
      <c r="F325" s="6">
        <f>316-4</f>
        <v>312</v>
      </c>
      <c r="G325" s="7">
        <v>324</v>
      </c>
      <c r="H325" s="8" t="s">
        <v>15</v>
      </c>
      <c r="I325" s="2">
        <v>1702</v>
      </c>
      <c r="J325" s="9" t="s">
        <v>16</v>
      </c>
      <c r="K325" s="4" t="s">
        <v>902</v>
      </c>
      <c r="L325" s="4" t="str">
        <f>""</f>
        <v/>
      </c>
      <c r="M325" s="4" t="s">
        <v>785</v>
      </c>
      <c r="N325" s="10">
        <v>44572</v>
      </c>
      <c r="O325" s="41" t="s">
        <v>989</v>
      </c>
      <c r="P325" s="5" t="s">
        <v>19</v>
      </c>
      <c r="Q325" s="10" t="s">
        <v>19</v>
      </c>
      <c r="R325" s="5" t="s">
        <v>19</v>
      </c>
      <c r="S325" s="4" t="s">
        <v>20</v>
      </c>
      <c r="T325" s="46" t="s">
        <v>20</v>
      </c>
    </row>
    <row r="326" spans="1:20" thickTop="1" thickBot="1" x14ac:dyDescent="0.35">
      <c r="A326" s="3" t="s">
        <v>903</v>
      </c>
      <c r="B326" s="4" t="s">
        <v>904</v>
      </c>
      <c r="C326" s="4">
        <v>1719</v>
      </c>
      <c r="D326" s="5" t="s">
        <v>13</v>
      </c>
      <c r="E326" s="5" t="s">
        <v>14</v>
      </c>
      <c r="F326" s="6">
        <f>488-42</f>
        <v>446</v>
      </c>
      <c r="G326" s="7">
        <v>516</v>
      </c>
      <c r="H326" s="8" t="s">
        <v>15</v>
      </c>
      <c r="I326" s="2">
        <v>3510</v>
      </c>
      <c r="J326" s="9" t="s">
        <v>25</v>
      </c>
      <c r="K326" s="4" t="s">
        <v>905</v>
      </c>
      <c r="L326" s="4" t="s">
        <v>906</v>
      </c>
      <c r="M326" s="4" t="s">
        <v>907</v>
      </c>
      <c r="N326" s="10">
        <v>44411</v>
      </c>
      <c r="O326" s="41" t="s">
        <v>1004</v>
      </c>
      <c r="P326" s="5" t="s">
        <v>19</v>
      </c>
      <c r="Q326" s="10" t="s">
        <v>19</v>
      </c>
      <c r="R326" s="5" t="s">
        <v>19</v>
      </c>
      <c r="S326" s="4" t="s">
        <v>19</v>
      </c>
      <c r="T326" s="46" t="s">
        <v>20</v>
      </c>
    </row>
    <row r="327" spans="1:20" thickTop="1" thickBot="1" x14ac:dyDescent="0.35">
      <c r="A327" s="3" t="s">
        <v>908</v>
      </c>
      <c r="B327" s="4" t="s">
        <v>879</v>
      </c>
      <c r="C327" s="4">
        <v>1874</v>
      </c>
      <c r="D327" s="5" t="s">
        <v>38</v>
      </c>
      <c r="E327" s="5" t="s">
        <v>39</v>
      </c>
      <c r="F327" s="6">
        <f>85-46</f>
        <v>39</v>
      </c>
      <c r="G327" s="7">
        <v>260</v>
      </c>
      <c r="H327" s="8" t="s">
        <v>15</v>
      </c>
      <c r="I327" s="2">
        <v>1499</v>
      </c>
      <c r="J327" s="9" t="s">
        <v>32</v>
      </c>
      <c r="K327" s="4" t="s">
        <v>909</v>
      </c>
      <c r="L327" s="4" t="s">
        <v>910</v>
      </c>
      <c r="M327" s="4" t="str">
        <f>""</f>
        <v/>
      </c>
      <c r="N327" s="5" t="str">
        <f>""</f>
        <v/>
      </c>
      <c r="O327" s="41">
        <v>4.5</v>
      </c>
      <c r="P327" s="5" t="s">
        <v>19</v>
      </c>
      <c r="Q327" s="10" t="s">
        <v>19</v>
      </c>
      <c r="R327" s="5" t="s">
        <v>20</v>
      </c>
      <c r="S327" s="4" t="str">
        <f>""</f>
        <v/>
      </c>
      <c r="T327" s="46" t="s">
        <v>19</v>
      </c>
    </row>
    <row r="328" spans="1:20" thickTop="1" thickBot="1" x14ac:dyDescent="0.35">
      <c r="A328" s="3" t="s">
        <v>911</v>
      </c>
      <c r="B328" s="4" t="s">
        <v>364</v>
      </c>
      <c r="C328" s="4">
        <v>1597</v>
      </c>
      <c r="D328" s="5" t="s">
        <v>23</v>
      </c>
      <c r="E328" s="5" t="s">
        <v>14</v>
      </c>
      <c r="F328" s="6">
        <f>201-18</f>
        <v>183</v>
      </c>
      <c r="G328" s="7">
        <v>228</v>
      </c>
      <c r="H328" s="8" t="s">
        <v>15</v>
      </c>
      <c r="I328" s="2">
        <v>6066</v>
      </c>
      <c r="J328" s="9" t="s">
        <v>25</v>
      </c>
      <c r="K328" s="4" t="s">
        <v>912</v>
      </c>
      <c r="L328" s="4" t="s">
        <v>101</v>
      </c>
      <c r="M328" s="4" t="s">
        <v>101</v>
      </c>
      <c r="N328" s="10">
        <v>44341</v>
      </c>
      <c r="O328" s="41">
        <v>2</v>
      </c>
      <c r="P328" s="5" t="s">
        <v>19</v>
      </c>
      <c r="Q328" s="10" t="s">
        <v>19</v>
      </c>
      <c r="R328" s="5" t="s">
        <v>19</v>
      </c>
      <c r="S328" s="4" t="s">
        <v>19</v>
      </c>
      <c r="T328" s="46" t="s">
        <v>20</v>
      </c>
    </row>
    <row r="329" spans="1:20" thickTop="1" thickBot="1" x14ac:dyDescent="0.35">
      <c r="A329" s="3" t="s">
        <v>913</v>
      </c>
      <c r="B329" s="4" t="s">
        <v>148</v>
      </c>
      <c r="C329" s="4">
        <v>1838</v>
      </c>
      <c r="D329" s="5" t="s">
        <v>23</v>
      </c>
      <c r="E329" s="5" t="s">
        <v>39</v>
      </c>
      <c r="F329" s="6">
        <f>214-36</f>
        <v>178</v>
      </c>
      <c r="G329" s="7">
        <v>278</v>
      </c>
      <c r="H329" s="8" t="s">
        <v>15</v>
      </c>
      <c r="I329" s="2">
        <v>1570</v>
      </c>
      <c r="J329" s="9" t="s">
        <v>32</v>
      </c>
      <c r="K329" s="4" t="s">
        <v>914</v>
      </c>
      <c r="L329" s="4" t="s">
        <v>915</v>
      </c>
      <c r="M329" s="4" t="str">
        <f>""</f>
        <v/>
      </c>
      <c r="N329" s="10">
        <v>43891</v>
      </c>
      <c r="O329" s="41">
        <v>2.8</v>
      </c>
      <c r="P329" s="5" t="s">
        <v>19</v>
      </c>
      <c r="Q329" s="10" t="s">
        <v>19</v>
      </c>
      <c r="R329" s="5" t="s">
        <v>19</v>
      </c>
      <c r="S329" s="4" t="s">
        <v>20</v>
      </c>
      <c r="T329" s="46" t="s">
        <v>20</v>
      </c>
    </row>
    <row r="330" spans="1:20" thickTop="1" thickBot="1" x14ac:dyDescent="0.35">
      <c r="A330" s="3" t="s">
        <v>916</v>
      </c>
      <c r="B330" s="4" t="s">
        <v>143</v>
      </c>
      <c r="C330" s="4">
        <v>1975</v>
      </c>
      <c r="D330" s="5" t="s">
        <v>45</v>
      </c>
      <c r="E330" s="5" t="s">
        <v>46</v>
      </c>
      <c r="F330" s="6">
        <f>830-16</f>
        <v>814</v>
      </c>
      <c r="G330" s="7">
        <v>836</v>
      </c>
      <c r="H330" s="8" t="s">
        <v>56</v>
      </c>
      <c r="I330" s="2">
        <v>31272</v>
      </c>
      <c r="J330" s="9" t="s">
        <v>57</v>
      </c>
      <c r="K330" s="4" t="s">
        <v>917</v>
      </c>
      <c r="L330" s="4" t="str">
        <f>""</f>
        <v/>
      </c>
      <c r="M330" s="4" t="s">
        <v>332</v>
      </c>
      <c r="N330" s="10">
        <v>44399</v>
      </c>
      <c r="O330" s="41"/>
      <c r="P330" s="5" t="s">
        <v>19</v>
      </c>
      <c r="Q330" s="10" t="s">
        <v>19</v>
      </c>
      <c r="R330" s="5" t="s">
        <v>20</v>
      </c>
      <c r="S330" s="4" t="str">
        <f>""</f>
        <v/>
      </c>
      <c r="T330" s="46" t="s">
        <v>20</v>
      </c>
    </row>
    <row r="331" spans="1:20" thickTop="1" thickBot="1" x14ac:dyDescent="0.35">
      <c r="A331" s="3" t="s">
        <v>918</v>
      </c>
      <c r="B331" s="4" t="s">
        <v>752</v>
      </c>
      <c r="C331" s="4">
        <v>-290</v>
      </c>
      <c r="D331" s="5" t="s">
        <v>30</v>
      </c>
      <c r="E331" s="5" t="s">
        <v>75</v>
      </c>
      <c r="F331" s="6">
        <f>126-114</f>
        <v>12</v>
      </c>
      <c r="G331" s="7">
        <f>212/2</f>
        <v>106</v>
      </c>
      <c r="H331" s="8" t="s">
        <v>15</v>
      </c>
      <c r="I331" s="2">
        <v>1479</v>
      </c>
      <c r="J331" s="9" t="s">
        <v>32</v>
      </c>
      <c r="K331" s="4" t="s">
        <v>765</v>
      </c>
      <c r="L331" s="4" t="s">
        <v>754</v>
      </c>
      <c r="M331" s="4" t="s">
        <v>754</v>
      </c>
      <c r="N331" s="5" t="str">
        <f>""</f>
        <v/>
      </c>
      <c r="O331" s="41">
        <v>0</v>
      </c>
      <c r="P331" s="5" t="s">
        <v>19</v>
      </c>
      <c r="Q331" s="10" t="s">
        <v>19</v>
      </c>
      <c r="R331" s="5" t="s">
        <v>20</v>
      </c>
      <c r="S331" s="4" t="str">
        <f>""</f>
        <v/>
      </c>
      <c r="T331" s="46" t="s">
        <v>20</v>
      </c>
    </row>
    <row r="332" spans="1:20" thickTop="1" thickBot="1" x14ac:dyDescent="0.35">
      <c r="A332" s="3" t="s">
        <v>1190</v>
      </c>
      <c r="B332" s="4" t="s">
        <v>1191</v>
      </c>
      <c r="C332" s="4">
        <v>2003</v>
      </c>
      <c r="D332" s="5" t="s">
        <v>1097</v>
      </c>
      <c r="E332" s="5" t="s">
        <v>46</v>
      </c>
      <c r="F332" s="6">
        <v>58</v>
      </c>
      <c r="G332" s="7">
        <v>68</v>
      </c>
      <c r="H332" s="8" t="s">
        <v>1192</v>
      </c>
      <c r="J332" s="9" t="s">
        <v>1193</v>
      </c>
      <c r="K332" s="4" t="s">
        <v>1194</v>
      </c>
      <c r="M332" s="4" t="s">
        <v>1195</v>
      </c>
      <c r="O332" s="41">
        <v>8</v>
      </c>
      <c r="P332" s="5" t="s">
        <v>19</v>
      </c>
      <c r="Q332" s="5" t="s">
        <v>19</v>
      </c>
      <c r="R332" s="5" t="s">
        <v>20</v>
      </c>
      <c r="S332" s="45"/>
      <c r="T332" s="46" t="s">
        <v>20</v>
      </c>
    </row>
    <row r="333" spans="1:20" thickTop="1" thickBot="1" x14ac:dyDescent="0.35">
      <c r="A333" s="3" t="s">
        <v>919</v>
      </c>
      <c r="B333" s="4" t="s">
        <v>143</v>
      </c>
      <c r="C333" s="4">
        <v>1977</v>
      </c>
      <c r="D333" s="5" t="s">
        <v>45</v>
      </c>
      <c r="E333" s="5" t="s">
        <v>46</v>
      </c>
      <c r="F333" s="6">
        <f>571-4</f>
        <v>567</v>
      </c>
      <c r="G333" s="7">
        <v>580</v>
      </c>
      <c r="H333" s="8" t="s">
        <v>56</v>
      </c>
      <c r="I333" s="2">
        <v>15162</v>
      </c>
      <c r="J333" s="9" t="s">
        <v>57</v>
      </c>
      <c r="K333" s="4" t="s">
        <v>920</v>
      </c>
      <c r="L333" s="4" t="str">
        <f>""</f>
        <v/>
      </c>
      <c r="M333" s="4" t="s">
        <v>921</v>
      </c>
      <c r="N333" s="10">
        <v>44157</v>
      </c>
      <c r="O333" s="41"/>
      <c r="P333" s="5" t="s">
        <v>19</v>
      </c>
      <c r="Q333" s="10" t="s">
        <v>19</v>
      </c>
      <c r="R333" s="5" t="s">
        <v>19</v>
      </c>
      <c r="S333" s="4" t="s">
        <v>20</v>
      </c>
      <c r="T333" s="46" t="s">
        <v>20</v>
      </c>
    </row>
    <row r="334" spans="1:20" thickTop="1" thickBot="1" x14ac:dyDescent="0.35">
      <c r="A334" s="3" t="s">
        <v>922</v>
      </c>
      <c r="B334" s="4" t="s">
        <v>143</v>
      </c>
      <c r="C334" s="4">
        <v>1985</v>
      </c>
      <c r="D334" s="5" t="s">
        <v>45</v>
      </c>
      <c r="E334" s="5" t="s">
        <v>46</v>
      </c>
      <c r="F334" s="6">
        <v>632</v>
      </c>
      <c r="G334" s="7">
        <v>644</v>
      </c>
      <c r="H334" s="8" t="s">
        <v>144</v>
      </c>
      <c r="I334" s="2">
        <v>15143</v>
      </c>
      <c r="J334" s="9" t="s">
        <v>57</v>
      </c>
      <c r="K334" s="4" t="s">
        <v>923</v>
      </c>
      <c r="L334" s="4" t="str">
        <f>""</f>
        <v/>
      </c>
      <c r="M334" s="4" t="s">
        <v>924</v>
      </c>
      <c r="N334" s="10">
        <v>44188</v>
      </c>
      <c r="O334" s="41"/>
      <c r="P334" s="5" t="s">
        <v>19</v>
      </c>
      <c r="Q334" s="10" t="s">
        <v>19</v>
      </c>
      <c r="R334" s="5" t="s">
        <v>19</v>
      </c>
      <c r="S334" s="4" t="s">
        <v>20</v>
      </c>
      <c r="T334" s="46" t="s">
        <v>20</v>
      </c>
    </row>
    <row r="335" spans="1:20" thickTop="1" thickBot="1" x14ac:dyDescent="0.35">
      <c r="A335" s="3" t="s">
        <v>925</v>
      </c>
      <c r="B335" s="4" t="s">
        <v>95</v>
      </c>
      <c r="C335" s="4">
        <v>1876</v>
      </c>
      <c r="D335" s="5" t="s">
        <v>13</v>
      </c>
      <c r="E335" s="5" t="s">
        <v>39</v>
      </c>
      <c r="F335" s="6">
        <f>453-22</f>
        <v>431</v>
      </c>
      <c r="G335" s="7">
        <v>484</v>
      </c>
      <c r="H335" s="8" t="s">
        <v>57</v>
      </c>
      <c r="I335" s="2">
        <v>901</v>
      </c>
      <c r="J335" s="9" t="s">
        <v>69</v>
      </c>
      <c r="K335" s="4" t="s">
        <v>926</v>
      </c>
      <c r="L335" s="4" t="s">
        <v>927</v>
      </c>
      <c r="M335" s="4" t="str">
        <f>""</f>
        <v/>
      </c>
      <c r="N335" s="10">
        <v>44682</v>
      </c>
      <c r="O335" s="41">
        <v>6.2</v>
      </c>
      <c r="P335" s="5" t="s">
        <v>19</v>
      </c>
      <c r="Q335" s="10" t="s">
        <v>19</v>
      </c>
      <c r="R335" s="5" t="s">
        <v>19</v>
      </c>
      <c r="S335" s="4" t="s">
        <v>20</v>
      </c>
      <c r="T335" s="46" t="s">
        <v>20</v>
      </c>
    </row>
    <row r="336" spans="1:20" thickTop="1" thickBot="1" x14ac:dyDescent="0.35">
      <c r="A336" s="3" t="s">
        <v>928</v>
      </c>
      <c r="B336" s="4" t="s">
        <v>326</v>
      </c>
      <c r="C336" s="4">
        <v>2017</v>
      </c>
      <c r="D336" s="5" t="s">
        <v>327</v>
      </c>
      <c r="E336" s="5" t="s">
        <v>39</v>
      </c>
      <c r="F336" s="6">
        <f>284-6</f>
        <v>278</v>
      </c>
      <c r="G336" s="7">
        <v>304</v>
      </c>
      <c r="H336" s="8" t="s">
        <v>328</v>
      </c>
      <c r="I336" s="2" t="str">
        <f>""</f>
        <v/>
      </c>
      <c r="J336" s="9" t="str">
        <f>""</f>
        <v/>
      </c>
      <c r="K336" s="4" t="s">
        <v>929</v>
      </c>
      <c r="L336" s="4" t="str">
        <f>""</f>
        <v/>
      </c>
      <c r="M336" s="4" t="str">
        <f>""</f>
        <v/>
      </c>
      <c r="N336" s="5" t="str">
        <f>""</f>
        <v/>
      </c>
      <c r="O336" s="41">
        <v>18</v>
      </c>
      <c r="P336" s="5" t="s">
        <v>19</v>
      </c>
      <c r="Q336" s="10" t="s">
        <v>19</v>
      </c>
      <c r="R336" s="5" t="s">
        <v>20</v>
      </c>
      <c r="S336" s="4" t="str">
        <f>""</f>
        <v/>
      </c>
      <c r="T336" s="46" t="s">
        <v>20</v>
      </c>
    </row>
    <row r="337" spans="1:20" thickTop="1" thickBot="1" x14ac:dyDescent="0.35">
      <c r="A337" s="3" t="s">
        <v>930</v>
      </c>
      <c r="B337" s="4" t="s">
        <v>931</v>
      </c>
      <c r="C337" s="4">
        <v>1851</v>
      </c>
      <c r="D337" s="5" t="s">
        <v>30</v>
      </c>
      <c r="E337" s="5" t="s">
        <v>31</v>
      </c>
      <c r="F337" s="6">
        <f>143-48</f>
        <v>95</v>
      </c>
      <c r="G337" s="7">
        <v>228</v>
      </c>
      <c r="H337" s="8" t="s">
        <v>15</v>
      </c>
      <c r="I337" s="2">
        <v>1336</v>
      </c>
      <c r="J337" s="9" t="s">
        <v>32</v>
      </c>
      <c r="K337" s="4" t="s">
        <v>932</v>
      </c>
      <c r="L337" s="4" t="s">
        <v>933</v>
      </c>
      <c r="M337" s="4" t="s">
        <v>933</v>
      </c>
      <c r="N337" s="10">
        <v>44166</v>
      </c>
      <c r="O337" s="41">
        <v>9</v>
      </c>
      <c r="P337" s="5" t="s">
        <v>19</v>
      </c>
      <c r="Q337" s="10" t="s">
        <v>19</v>
      </c>
      <c r="R337" s="5" t="s">
        <v>19</v>
      </c>
      <c r="S337" s="4" t="s">
        <v>20</v>
      </c>
      <c r="T337" s="46" t="s">
        <v>20</v>
      </c>
    </row>
    <row r="338" spans="1:20" thickTop="1" thickBot="1" x14ac:dyDescent="0.35">
      <c r="A338" s="3" t="s">
        <v>934</v>
      </c>
      <c r="B338" s="4" t="s">
        <v>607</v>
      </c>
      <c r="C338" s="4">
        <v>1901</v>
      </c>
      <c r="D338" s="5" t="s">
        <v>30</v>
      </c>
      <c r="E338" s="5" t="s">
        <v>31</v>
      </c>
      <c r="F338" s="6">
        <f>142-42</f>
        <v>100</v>
      </c>
      <c r="G338" s="7">
        <v>164</v>
      </c>
      <c r="H338" s="8" t="s">
        <v>15</v>
      </c>
      <c r="I338" s="2">
        <v>12</v>
      </c>
      <c r="J338" s="9" t="s">
        <v>741</v>
      </c>
      <c r="K338" s="4" t="s">
        <v>935</v>
      </c>
      <c r="L338" s="4" t="s">
        <v>936</v>
      </c>
      <c r="M338" s="4" t="s">
        <v>849</v>
      </c>
      <c r="N338" s="10">
        <v>44335</v>
      </c>
      <c r="O338" s="41"/>
      <c r="P338" s="5" t="s">
        <v>19</v>
      </c>
      <c r="Q338" s="10" t="s">
        <v>19</v>
      </c>
      <c r="R338" s="5" t="s">
        <v>20</v>
      </c>
      <c r="S338" s="4" t="str">
        <f>""</f>
        <v/>
      </c>
      <c r="T338" s="46" t="s">
        <v>20</v>
      </c>
    </row>
    <row r="339" spans="1:20" thickTop="1" thickBot="1" x14ac:dyDescent="0.35">
      <c r="A339" s="3" t="s">
        <v>937</v>
      </c>
      <c r="B339" s="4" t="s">
        <v>417</v>
      </c>
      <c r="C339" s="4">
        <v>-400</v>
      </c>
      <c r="D339" s="5" t="s">
        <v>418</v>
      </c>
      <c r="E339" s="5" t="s">
        <v>938</v>
      </c>
      <c r="F339" s="6">
        <v>632</v>
      </c>
      <c r="G339" s="7">
        <v>640</v>
      </c>
      <c r="H339" s="8" t="str">
        <f>""</f>
        <v/>
      </c>
      <c r="I339" s="2" t="str">
        <f>""</f>
        <v/>
      </c>
      <c r="J339" s="9" t="str">
        <f>""</f>
        <v/>
      </c>
      <c r="K339" s="4" t="s">
        <v>939</v>
      </c>
      <c r="L339" s="4" t="str">
        <f>""</f>
        <v/>
      </c>
      <c r="M339" s="4" t="str">
        <f>""</f>
        <v/>
      </c>
      <c r="N339" s="5" t="str">
        <f>""</f>
        <v/>
      </c>
      <c r="O339" s="41"/>
      <c r="P339" s="5" t="s">
        <v>19</v>
      </c>
      <c r="Q339" s="10" t="s">
        <v>19</v>
      </c>
      <c r="R339" s="5" t="s">
        <v>20</v>
      </c>
      <c r="S339" s="4" t="str">
        <f>""</f>
        <v/>
      </c>
      <c r="T339" s="46" t="s">
        <v>20</v>
      </c>
    </row>
    <row r="340" spans="1:20" thickTop="1" thickBot="1" x14ac:dyDescent="0.35">
      <c r="A340" s="3" t="s">
        <v>940</v>
      </c>
      <c r="B340" s="4" t="s">
        <v>112</v>
      </c>
      <c r="C340" s="4">
        <v>-600</v>
      </c>
      <c r="D340" s="5" t="s">
        <v>38</v>
      </c>
      <c r="E340" s="5" t="s">
        <v>75</v>
      </c>
      <c r="F340" s="6">
        <f>93-30</f>
        <v>63</v>
      </c>
      <c r="G340" s="7">
        <v>106</v>
      </c>
      <c r="H340" s="8" t="s">
        <v>15</v>
      </c>
      <c r="I340" s="2">
        <v>3467</v>
      </c>
      <c r="J340" s="9" t="s">
        <v>25</v>
      </c>
      <c r="K340" s="4" t="s">
        <v>113</v>
      </c>
      <c r="L340" s="4" t="s">
        <v>114</v>
      </c>
      <c r="M340" s="4" t="s">
        <v>114</v>
      </c>
      <c r="N340" s="10">
        <v>44152</v>
      </c>
      <c r="O340" s="41" t="s">
        <v>985</v>
      </c>
      <c r="P340" s="5" t="s">
        <v>19</v>
      </c>
      <c r="Q340" s="10" t="s">
        <v>19</v>
      </c>
      <c r="R340" s="5" t="s">
        <v>20</v>
      </c>
      <c r="S340" s="4" t="str">
        <f>""</f>
        <v/>
      </c>
      <c r="T340" s="46" t="s">
        <v>20</v>
      </c>
    </row>
    <row r="341" spans="1:20" thickTop="1" thickBot="1" x14ac:dyDescent="0.35">
      <c r="A341" s="3" t="s">
        <v>941</v>
      </c>
      <c r="B341" s="4" t="s">
        <v>942</v>
      </c>
      <c r="C341" s="4">
        <v>1945</v>
      </c>
      <c r="D341" s="5" t="s">
        <v>108</v>
      </c>
      <c r="E341" s="5" t="s">
        <v>31</v>
      </c>
      <c r="F341" s="6">
        <f>143-6</f>
        <v>137</v>
      </c>
      <c r="G341" s="7">
        <v>162</v>
      </c>
      <c r="H341" s="8" t="s">
        <v>15</v>
      </c>
      <c r="I341" s="2">
        <v>322</v>
      </c>
      <c r="J341" s="9" t="s">
        <v>741</v>
      </c>
      <c r="K341" s="4" t="s">
        <v>943</v>
      </c>
      <c r="L341" s="4" t="s">
        <v>944</v>
      </c>
      <c r="M341" s="4" t="s">
        <v>944</v>
      </c>
      <c r="N341" s="10">
        <v>45105</v>
      </c>
      <c r="O341" s="41" t="s">
        <v>986</v>
      </c>
      <c r="P341" s="5" t="s">
        <v>19</v>
      </c>
      <c r="Q341" s="10" t="s">
        <v>19</v>
      </c>
      <c r="R341" s="5" t="s">
        <v>20</v>
      </c>
      <c r="S341" s="4" t="str">
        <f>""</f>
        <v/>
      </c>
      <c r="T341" s="46" t="s">
        <v>20</v>
      </c>
    </row>
    <row r="342" spans="1:20" thickTop="1" thickBot="1" x14ac:dyDescent="0.35">
      <c r="A342" s="3" t="s">
        <v>945</v>
      </c>
      <c r="B342" s="4" t="s">
        <v>22</v>
      </c>
      <c r="C342" s="4">
        <v>65</v>
      </c>
      <c r="D342" s="5" t="s">
        <v>23</v>
      </c>
      <c r="E342" s="5" t="s">
        <v>24</v>
      </c>
      <c r="F342" s="6">
        <f>617-550</f>
        <v>67</v>
      </c>
      <c r="G342" s="7">
        <v>111</v>
      </c>
      <c r="H342" s="8" t="s">
        <v>15</v>
      </c>
      <c r="I342" s="2">
        <v>7143</v>
      </c>
      <c r="J342" s="9" t="s">
        <v>25</v>
      </c>
      <c r="K342" s="4" t="s">
        <v>26</v>
      </c>
      <c r="L342" s="4" t="s">
        <v>27</v>
      </c>
      <c r="M342" s="4" t="s">
        <v>27</v>
      </c>
      <c r="N342" s="10">
        <v>44867</v>
      </c>
      <c r="O342" s="41">
        <v>0</v>
      </c>
      <c r="P342" s="5" t="s">
        <v>20</v>
      </c>
      <c r="Q342" s="10" t="s">
        <v>19</v>
      </c>
      <c r="R342" s="5" t="s">
        <v>19</v>
      </c>
      <c r="S342" s="4" t="s">
        <v>19</v>
      </c>
      <c r="T342" s="46" t="s">
        <v>20</v>
      </c>
    </row>
    <row r="343" spans="1:20" thickTop="1" thickBot="1" x14ac:dyDescent="0.35">
      <c r="A343" s="3" t="s">
        <v>946</v>
      </c>
      <c r="B343" s="4" t="s">
        <v>80</v>
      </c>
      <c r="C343" s="4">
        <v>-358</v>
      </c>
      <c r="D343" s="5" t="s">
        <v>30</v>
      </c>
      <c r="E343" s="5" t="s">
        <v>75</v>
      </c>
      <c r="F343" s="6">
        <f>220-94</f>
        <v>126</v>
      </c>
      <c r="G343" s="7">
        <f>502/2</f>
        <v>251</v>
      </c>
      <c r="H343" s="8" t="s">
        <v>15</v>
      </c>
      <c r="I343" s="2">
        <v>618</v>
      </c>
      <c r="J343" s="9" t="s">
        <v>32</v>
      </c>
      <c r="K343" s="4" t="s">
        <v>177</v>
      </c>
      <c r="L343" s="4" t="s">
        <v>82</v>
      </c>
      <c r="M343" s="4" t="s">
        <v>178</v>
      </c>
      <c r="N343" s="10">
        <v>45047</v>
      </c>
      <c r="O343" s="41">
        <v>0</v>
      </c>
      <c r="P343" s="5" t="s">
        <v>19</v>
      </c>
      <c r="Q343" s="10" t="s">
        <v>19</v>
      </c>
      <c r="R343" s="5" t="s">
        <v>19</v>
      </c>
      <c r="S343" s="4" t="s">
        <v>20</v>
      </c>
      <c r="T343" s="46" t="s">
        <v>20</v>
      </c>
    </row>
    <row r="344" spans="1:20" thickTop="1" thickBot="1" x14ac:dyDescent="0.35">
      <c r="A344" s="3" t="s">
        <v>1174</v>
      </c>
      <c r="B344" s="4" t="s">
        <v>1175</v>
      </c>
      <c r="C344" s="4">
        <v>1996</v>
      </c>
      <c r="D344" s="5" t="s">
        <v>1037</v>
      </c>
      <c r="E344" s="5" t="s">
        <v>39</v>
      </c>
      <c r="F344" s="6">
        <v>46</v>
      </c>
      <c r="G344" s="7">
        <v>54</v>
      </c>
      <c r="H344" s="8" t="s">
        <v>1176</v>
      </c>
      <c r="K344" s="4" t="s">
        <v>1177</v>
      </c>
      <c r="N344" s="13">
        <v>40360</v>
      </c>
      <c r="O344" s="41"/>
      <c r="P344" s="5" t="s">
        <v>19</v>
      </c>
      <c r="Q344" s="5" t="s">
        <v>19</v>
      </c>
      <c r="R344" s="5" t="s">
        <v>19</v>
      </c>
      <c r="S344" s="45" t="s">
        <v>20</v>
      </c>
      <c r="T344" s="46" t="s">
        <v>20</v>
      </c>
    </row>
    <row r="345" spans="1:20" thickTop="1" thickBot="1" x14ac:dyDescent="0.35">
      <c r="A345" s="3" t="s">
        <v>1035</v>
      </c>
      <c r="B345" s="4" t="s">
        <v>1036</v>
      </c>
      <c r="C345" s="4">
        <v>1985</v>
      </c>
      <c r="D345" s="5" t="s">
        <v>1037</v>
      </c>
      <c r="E345" s="5" t="s">
        <v>39</v>
      </c>
      <c r="F345" s="6">
        <f t="shared" ref="F345:F376" si="0">94-2</f>
        <v>92</v>
      </c>
      <c r="G345" s="7">
        <v>100</v>
      </c>
      <c r="H345" s="8" t="s">
        <v>1038</v>
      </c>
      <c r="K345" s="4" t="s">
        <v>1039</v>
      </c>
      <c r="O345" s="41">
        <v>11.5</v>
      </c>
      <c r="P345" s="5" t="s">
        <v>19</v>
      </c>
      <c r="Q345" s="10" t="s">
        <v>19</v>
      </c>
      <c r="R345" s="10" t="s">
        <v>19</v>
      </c>
      <c r="S345" s="47" t="s">
        <v>20</v>
      </c>
      <c r="T345" s="46" t="s">
        <v>20</v>
      </c>
    </row>
    <row r="346" spans="1:20" thickTop="1" thickBot="1" x14ac:dyDescent="0.35">
      <c r="A346" s="3" t="s">
        <v>1056</v>
      </c>
      <c r="B346" s="4" t="s">
        <v>1036</v>
      </c>
      <c r="C346" s="4">
        <v>1989</v>
      </c>
      <c r="D346" s="5" t="s">
        <v>1037</v>
      </c>
      <c r="E346" s="5" t="s">
        <v>39</v>
      </c>
      <c r="F346" s="6">
        <f t="shared" si="0"/>
        <v>92</v>
      </c>
      <c r="G346" s="7">
        <v>100</v>
      </c>
      <c r="H346" s="8" t="s">
        <v>1038</v>
      </c>
      <c r="K346" s="4" t="s">
        <v>1057</v>
      </c>
      <c r="O346" s="41">
        <v>11.5</v>
      </c>
      <c r="P346" s="5" t="s">
        <v>19</v>
      </c>
      <c r="Q346" s="5" t="s">
        <v>19</v>
      </c>
      <c r="R346" s="5" t="s">
        <v>19</v>
      </c>
      <c r="S346" s="47" t="s">
        <v>20</v>
      </c>
      <c r="T346" s="46" t="s">
        <v>20</v>
      </c>
    </row>
    <row r="347" spans="1:20" thickTop="1" thickBot="1" x14ac:dyDescent="0.35">
      <c r="A347" s="3" t="s">
        <v>1058</v>
      </c>
      <c r="B347" s="4" t="s">
        <v>1036</v>
      </c>
      <c r="C347" s="4">
        <v>1989</v>
      </c>
      <c r="D347" s="5" t="s">
        <v>1037</v>
      </c>
      <c r="E347" s="5" t="s">
        <v>39</v>
      </c>
      <c r="F347" s="6">
        <f t="shared" si="0"/>
        <v>92</v>
      </c>
      <c r="G347" s="7">
        <v>100</v>
      </c>
      <c r="H347" s="8" t="s">
        <v>1038</v>
      </c>
      <c r="K347" s="4" t="s">
        <v>1059</v>
      </c>
      <c r="O347" s="41">
        <v>11.5</v>
      </c>
      <c r="P347" s="5" t="s">
        <v>19</v>
      </c>
      <c r="Q347" s="5" t="s">
        <v>19</v>
      </c>
      <c r="R347" s="5" t="s">
        <v>19</v>
      </c>
      <c r="S347" s="47" t="s">
        <v>20</v>
      </c>
      <c r="T347" s="46" t="s">
        <v>20</v>
      </c>
    </row>
    <row r="348" spans="1:20" thickTop="1" thickBot="1" x14ac:dyDescent="0.35">
      <c r="A348" s="48" t="s">
        <v>1060</v>
      </c>
      <c r="B348" s="49" t="s">
        <v>1036</v>
      </c>
      <c r="C348" s="49">
        <v>1990</v>
      </c>
      <c r="D348" s="50" t="s">
        <v>1037</v>
      </c>
      <c r="E348" s="50" t="s">
        <v>39</v>
      </c>
      <c r="F348" s="51">
        <f t="shared" si="0"/>
        <v>92</v>
      </c>
      <c r="G348" s="52">
        <v>100</v>
      </c>
      <c r="H348" s="53" t="s">
        <v>1038</v>
      </c>
      <c r="I348" s="54"/>
      <c r="J348" s="55"/>
      <c r="K348" s="49" t="s">
        <v>1061</v>
      </c>
      <c r="L348" s="49"/>
      <c r="M348" s="49"/>
      <c r="N348" s="50"/>
      <c r="O348" s="56">
        <v>11.5</v>
      </c>
      <c r="P348" s="5" t="s">
        <v>19</v>
      </c>
      <c r="Q348" s="5" t="s">
        <v>19</v>
      </c>
      <c r="R348" s="5" t="s">
        <v>19</v>
      </c>
      <c r="S348" s="47" t="s">
        <v>20</v>
      </c>
      <c r="T348" s="46" t="s">
        <v>20</v>
      </c>
    </row>
    <row r="349" spans="1:20" thickTop="1" thickBot="1" x14ac:dyDescent="0.35">
      <c r="A349" s="65" t="s">
        <v>1062</v>
      </c>
      <c r="B349" s="57" t="s">
        <v>1036</v>
      </c>
      <c r="C349" s="57">
        <v>1991</v>
      </c>
      <c r="D349" s="58" t="s">
        <v>1037</v>
      </c>
      <c r="E349" s="58" t="s">
        <v>39</v>
      </c>
      <c r="F349" s="59">
        <f t="shared" si="0"/>
        <v>92</v>
      </c>
      <c r="G349" s="60">
        <v>100</v>
      </c>
      <c r="H349" s="61" t="s">
        <v>1038</v>
      </c>
      <c r="I349" s="62"/>
      <c r="J349" s="63"/>
      <c r="K349" s="57" t="s">
        <v>1063</v>
      </c>
      <c r="L349" s="57"/>
      <c r="M349" s="57"/>
      <c r="N349" s="58"/>
      <c r="O349" s="64">
        <v>11.5</v>
      </c>
      <c r="P349" s="10" t="s">
        <v>19</v>
      </c>
      <c r="Q349" s="10" t="s">
        <v>19</v>
      </c>
      <c r="R349" s="10" t="s">
        <v>19</v>
      </c>
      <c r="S349" s="44" t="s">
        <v>20</v>
      </c>
      <c r="T349" s="11" t="s">
        <v>20</v>
      </c>
    </row>
    <row r="350" spans="1:20" thickTop="1" thickBot="1" x14ac:dyDescent="0.35">
      <c r="A350" s="3" t="s">
        <v>1064</v>
      </c>
      <c r="B350" s="4" t="s">
        <v>1036</v>
      </c>
      <c r="C350" s="4">
        <v>1992</v>
      </c>
      <c r="D350" s="5" t="s">
        <v>1037</v>
      </c>
      <c r="E350" s="5" t="s">
        <v>39</v>
      </c>
      <c r="F350" s="6">
        <f t="shared" si="0"/>
        <v>92</v>
      </c>
      <c r="G350" s="7">
        <v>100</v>
      </c>
      <c r="H350" s="8" t="s">
        <v>1038</v>
      </c>
      <c r="K350" s="4" t="s">
        <v>1065</v>
      </c>
      <c r="O350" s="41">
        <v>11.5</v>
      </c>
      <c r="P350" s="10" t="s">
        <v>19</v>
      </c>
      <c r="Q350" s="10" t="s">
        <v>19</v>
      </c>
      <c r="R350" s="10" t="s">
        <v>19</v>
      </c>
      <c r="S350" s="44" t="s">
        <v>20</v>
      </c>
      <c r="T350" s="11" t="s">
        <v>20</v>
      </c>
    </row>
    <row r="351" spans="1:20" thickTop="1" thickBot="1" x14ac:dyDescent="0.35">
      <c r="A351" s="3" t="s">
        <v>1066</v>
      </c>
      <c r="B351" s="4" t="s">
        <v>1036</v>
      </c>
      <c r="C351" s="4">
        <v>1992</v>
      </c>
      <c r="D351" s="5" t="s">
        <v>1037</v>
      </c>
      <c r="E351" s="5" t="s">
        <v>39</v>
      </c>
      <c r="F351" s="6">
        <f t="shared" si="0"/>
        <v>92</v>
      </c>
      <c r="G351" s="7">
        <v>100</v>
      </c>
      <c r="H351" s="8" t="s">
        <v>1038</v>
      </c>
      <c r="K351" s="4" t="s">
        <v>1067</v>
      </c>
      <c r="O351" s="41">
        <v>11.5</v>
      </c>
      <c r="P351" s="10" t="s">
        <v>19</v>
      </c>
      <c r="Q351" s="10" t="s">
        <v>19</v>
      </c>
      <c r="R351" s="10" t="s">
        <v>19</v>
      </c>
      <c r="S351" s="44" t="s">
        <v>20</v>
      </c>
      <c r="T351" s="11" t="s">
        <v>20</v>
      </c>
    </row>
    <row r="352" spans="1:20" thickTop="1" thickBot="1" x14ac:dyDescent="0.35">
      <c r="A352" s="3" t="s">
        <v>1068</v>
      </c>
      <c r="B352" s="4" t="s">
        <v>1036</v>
      </c>
      <c r="C352" s="4">
        <v>1993</v>
      </c>
      <c r="D352" s="5" t="s">
        <v>1037</v>
      </c>
      <c r="E352" s="5" t="s">
        <v>39</v>
      </c>
      <c r="F352" s="6">
        <f t="shared" si="0"/>
        <v>92</v>
      </c>
      <c r="G352" s="7">
        <v>100</v>
      </c>
      <c r="H352" s="8" t="s">
        <v>1038</v>
      </c>
      <c r="K352" s="4" t="s">
        <v>1069</v>
      </c>
      <c r="O352" s="41">
        <v>11.5</v>
      </c>
      <c r="P352" s="5" t="s">
        <v>19</v>
      </c>
      <c r="Q352" s="5" t="s">
        <v>19</v>
      </c>
      <c r="R352" s="5" t="s">
        <v>19</v>
      </c>
      <c r="S352" s="44" t="s">
        <v>20</v>
      </c>
      <c r="T352" s="11" t="s">
        <v>19</v>
      </c>
    </row>
    <row r="353" spans="1:20" thickTop="1" thickBot="1" x14ac:dyDescent="0.35">
      <c r="A353" s="3" t="s">
        <v>1075</v>
      </c>
      <c r="B353" s="4" t="s">
        <v>1036</v>
      </c>
      <c r="C353" s="4">
        <v>1994</v>
      </c>
      <c r="D353" s="5" t="s">
        <v>1037</v>
      </c>
      <c r="E353" s="5" t="s">
        <v>39</v>
      </c>
      <c r="F353" s="6">
        <f t="shared" si="0"/>
        <v>92</v>
      </c>
      <c r="G353" s="7">
        <v>100</v>
      </c>
      <c r="H353" s="8" t="s">
        <v>1038</v>
      </c>
      <c r="K353" s="4" t="s">
        <v>1076</v>
      </c>
      <c r="O353" s="41">
        <v>11.5</v>
      </c>
      <c r="P353" s="5" t="s">
        <v>19</v>
      </c>
      <c r="Q353" s="5" t="s">
        <v>19</v>
      </c>
      <c r="R353" s="5" t="s">
        <v>19</v>
      </c>
      <c r="S353" s="44" t="s">
        <v>20</v>
      </c>
      <c r="T353" s="11" t="s">
        <v>20</v>
      </c>
    </row>
    <row r="354" spans="1:20" thickTop="1" thickBot="1" x14ac:dyDescent="0.35">
      <c r="A354" s="3" t="s">
        <v>1077</v>
      </c>
      <c r="B354" s="4" t="s">
        <v>1036</v>
      </c>
      <c r="C354" s="4">
        <v>1994</v>
      </c>
      <c r="D354" s="5" t="s">
        <v>1037</v>
      </c>
      <c r="E354" s="5" t="s">
        <v>39</v>
      </c>
      <c r="F354" s="6">
        <f t="shared" si="0"/>
        <v>92</v>
      </c>
      <c r="G354" s="7">
        <v>100</v>
      </c>
      <c r="H354" s="8" t="s">
        <v>1038</v>
      </c>
      <c r="K354" s="4" t="s">
        <v>1078</v>
      </c>
      <c r="O354" s="41">
        <v>11.5</v>
      </c>
      <c r="P354" s="5" t="s">
        <v>19</v>
      </c>
      <c r="Q354" s="5" t="s">
        <v>19</v>
      </c>
      <c r="R354" s="5" t="s">
        <v>19</v>
      </c>
      <c r="S354" s="44" t="s">
        <v>20</v>
      </c>
      <c r="T354" s="11" t="s">
        <v>20</v>
      </c>
    </row>
    <row r="355" spans="1:20" thickTop="1" thickBot="1" x14ac:dyDescent="0.35">
      <c r="A355" s="3" t="s">
        <v>1079</v>
      </c>
      <c r="B355" s="4" t="s">
        <v>1036</v>
      </c>
      <c r="C355" s="4">
        <v>1995</v>
      </c>
      <c r="D355" s="5" t="s">
        <v>1037</v>
      </c>
      <c r="E355" s="5" t="s">
        <v>39</v>
      </c>
      <c r="F355" s="6">
        <f t="shared" si="0"/>
        <v>92</v>
      </c>
      <c r="G355" s="7">
        <v>100</v>
      </c>
      <c r="H355" s="8" t="s">
        <v>1038</v>
      </c>
      <c r="K355" s="4" t="s">
        <v>1080</v>
      </c>
      <c r="O355" s="41">
        <v>11.5</v>
      </c>
      <c r="P355" s="5" t="s">
        <v>19</v>
      </c>
      <c r="Q355" s="5" t="s">
        <v>19</v>
      </c>
      <c r="R355" s="5" t="s">
        <v>19</v>
      </c>
      <c r="S355" s="44" t="s">
        <v>20</v>
      </c>
      <c r="T355" s="11" t="s">
        <v>20</v>
      </c>
    </row>
    <row r="356" spans="1:20" thickTop="1" thickBot="1" x14ac:dyDescent="0.35">
      <c r="A356" s="3" t="s">
        <v>1040</v>
      </c>
      <c r="B356" s="4" t="s">
        <v>1036</v>
      </c>
      <c r="C356" s="4">
        <v>1985</v>
      </c>
      <c r="D356" s="5" t="s">
        <v>1037</v>
      </c>
      <c r="E356" s="5" t="s">
        <v>39</v>
      </c>
      <c r="F356" s="6">
        <f t="shared" si="0"/>
        <v>92</v>
      </c>
      <c r="G356" s="7">
        <v>100</v>
      </c>
      <c r="H356" s="8" t="s">
        <v>1038</v>
      </c>
      <c r="K356" s="4" t="s">
        <v>1041</v>
      </c>
      <c r="O356" s="41">
        <v>11.5</v>
      </c>
      <c r="P356" s="10" t="s">
        <v>19</v>
      </c>
      <c r="Q356" s="10" t="s">
        <v>19</v>
      </c>
      <c r="R356" s="10" t="s">
        <v>19</v>
      </c>
      <c r="S356" s="44" t="s">
        <v>20</v>
      </c>
      <c r="T356" s="11" t="s">
        <v>20</v>
      </c>
    </row>
    <row r="357" spans="1:20" thickTop="1" thickBot="1" x14ac:dyDescent="0.35">
      <c r="A357" s="3" t="s">
        <v>1081</v>
      </c>
      <c r="B357" s="4" t="s">
        <v>1036</v>
      </c>
      <c r="C357" s="4">
        <v>1995</v>
      </c>
      <c r="D357" s="5" t="s">
        <v>1037</v>
      </c>
      <c r="E357" s="5" t="s">
        <v>39</v>
      </c>
      <c r="F357" s="6">
        <f t="shared" si="0"/>
        <v>92</v>
      </c>
      <c r="G357" s="7">
        <v>100</v>
      </c>
      <c r="H357" s="8" t="s">
        <v>1038</v>
      </c>
      <c r="K357" s="4" t="s">
        <v>1082</v>
      </c>
      <c r="O357" s="41">
        <v>11.5</v>
      </c>
      <c r="P357" s="10" t="s">
        <v>19</v>
      </c>
      <c r="Q357" s="10" t="s">
        <v>19</v>
      </c>
      <c r="R357" s="5" t="s">
        <v>19</v>
      </c>
      <c r="S357" s="44" t="s">
        <v>20</v>
      </c>
      <c r="T357" s="11" t="s">
        <v>20</v>
      </c>
    </row>
    <row r="358" spans="1:20" thickTop="1" thickBot="1" x14ac:dyDescent="0.35">
      <c r="A358" s="3" t="s">
        <v>1083</v>
      </c>
      <c r="B358" s="4" t="s">
        <v>1036</v>
      </c>
      <c r="C358" s="4">
        <v>1996</v>
      </c>
      <c r="D358" s="5" t="s">
        <v>1037</v>
      </c>
      <c r="E358" s="5" t="s">
        <v>39</v>
      </c>
      <c r="F358" s="6">
        <f t="shared" si="0"/>
        <v>92</v>
      </c>
      <c r="G358" s="7">
        <v>100</v>
      </c>
      <c r="H358" s="8" t="s">
        <v>1038</v>
      </c>
      <c r="K358" s="4" t="s">
        <v>1084</v>
      </c>
      <c r="O358" s="41">
        <v>11.5</v>
      </c>
      <c r="P358" s="10" t="s">
        <v>19</v>
      </c>
      <c r="Q358" s="10" t="s">
        <v>19</v>
      </c>
      <c r="R358" s="10" t="s">
        <v>19</v>
      </c>
      <c r="S358" s="44" t="s">
        <v>20</v>
      </c>
      <c r="T358" s="11" t="s">
        <v>19</v>
      </c>
    </row>
    <row r="359" spans="1:20" thickTop="1" thickBot="1" x14ac:dyDescent="0.35">
      <c r="A359" s="3" t="s">
        <v>1085</v>
      </c>
      <c r="B359" s="4" t="s">
        <v>1036</v>
      </c>
      <c r="C359" s="4">
        <v>1997</v>
      </c>
      <c r="D359" s="5" t="s">
        <v>1037</v>
      </c>
      <c r="E359" s="5" t="s">
        <v>39</v>
      </c>
      <c r="F359" s="6">
        <f t="shared" si="0"/>
        <v>92</v>
      </c>
      <c r="G359" s="7">
        <v>100</v>
      </c>
      <c r="H359" s="8" t="s">
        <v>1038</v>
      </c>
      <c r="K359" s="4" t="s">
        <v>1086</v>
      </c>
      <c r="O359" s="41">
        <v>11.5</v>
      </c>
      <c r="P359" s="10" t="s">
        <v>19</v>
      </c>
      <c r="Q359" s="10" t="s">
        <v>19</v>
      </c>
      <c r="R359" s="10" t="s">
        <v>19</v>
      </c>
      <c r="S359" s="44" t="s">
        <v>20</v>
      </c>
      <c r="T359" s="11" t="s">
        <v>20</v>
      </c>
    </row>
    <row r="360" spans="1:20" thickTop="1" thickBot="1" x14ac:dyDescent="0.35">
      <c r="A360" s="3" t="s">
        <v>1087</v>
      </c>
      <c r="B360" s="4" t="s">
        <v>1036</v>
      </c>
      <c r="C360" s="4">
        <v>1998</v>
      </c>
      <c r="D360" s="5" t="s">
        <v>1037</v>
      </c>
      <c r="E360" s="5" t="s">
        <v>39</v>
      </c>
      <c r="F360" s="6">
        <f t="shared" si="0"/>
        <v>92</v>
      </c>
      <c r="G360" s="7">
        <v>100</v>
      </c>
      <c r="H360" s="8" t="s">
        <v>1038</v>
      </c>
      <c r="K360" s="4" t="s">
        <v>1088</v>
      </c>
      <c r="O360" s="41">
        <v>11.5</v>
      </c>
      <c r="P360" s="10" t="s">
        <v>19</v>
      </c>
      <c r="Q360" s="10" t="s">
        <v>19</v>
      </c>
      <c r="R360" s="10" t="s">
        <v>19</v>
      </c>
      <c r="S360" s="44" t="s">
        <v>20</v>
      </c>
      <c r="T360" s="11" t="s">
        <v>20</v>
      </c>
    </row>
    <row r="361" spans="1:20" thickTop="1" thickBot="1" x14ac:dyDescent="0.35">
      <c r="A361" s="3" t="s">
        <v>1089</v>
      </c>
      <c r="B361" s="4" t="s">
        <v>1036</v>
      </c>
      <c r="C361" s="4">
        <v>1999</v>
      </c>
      <c r="D361" s="5" t="s">
        <v>1037</v>
      </c>
      <c r="E361" s="5" t="s">
        <v>39</v>
      </c>
      <c r="F361" s="6">
        <f t="shared" si="0"/>
        <v>92</v>
      </c>
      <c r="G361" s="7">
        <v>100</v>
      </c>
      <c r="H361" s="8" t="s">
        <v>1038</v>
      </c>
      <c r="K361" s="4" t="s">
        <v>1090</v>
      </c>
      <c r="O361" s="41">
        <v>11.5</v>
      </c>
      <c r="P361" s="5" t="s">
        <v>19</v>
      </c>
      <c r="Q361" s="5" t="s">
        <v>19</v>
      </c>
      <c r="R361" s="5" t="s">
        <v>19</v>
      </c>
      <c r="S361" s="44" t="s">
        <v>20</v>
      </c>
      <c r="T361" s="11" t="s">
        <v>20</v>
      </c>
    </row>
    <row r="362" spans="1:20" thickTop="1" thickBot="1" x14ac:dyDescent="0.35">
      <c r="A362" s="3" t="s">
        <v>1091</v>
      </c>
      <c r="B362" s="4" t="s">
        <v>1036</v>
      </c>
      <c r="C362" s="4">
        <v>2000</v>
      </c>
      <c r="D362" s="5" t="s">
        <v>1037</v>
      </c>
      <c r="E362" s="5" t="s">
        <v>39</v>
      </c>
      <c r="F362" s="6">
        <f t="shared" si="0"/>
        <v>92</v>
      </c>
      <c r="G362" s="7">
        <v>100</v>
      </c>
      <c r="H362" s="8" t="s">
        <v>1038</v>
      </c>
      <c r="K362" s="4" t="s">
        <v>1092</v>
      </c>
      <c r="O362" s="41">
        <v>11.5</v>
      </c>
      <c r="P362" s="5" t="s">
        <v>19</v>
      </c>
      <c r="Q362" s="5" t="s">
        <v>19</v>
      </c>
      <c r="R362" s="5" t="s">
        <v>19</v>
      </c>
      <c r="S362" s="44" t="s">
        <v>20</v>
      </c>
      <c r="T362" s="11" t="s">
        <v>20</v>
      </c>
    </row>
    <row r="363" spans="1:20" thickTop="1" thickBot="1" x14ac:dyDescent="0.35">
      <c r="A363" s="3" t="s">
        <v>1093</v>
      </c>
      <c r="B363" s="4" t="s">
        <v>1036</v>
      </c>
      <c r="C363" s="4">
        <v>2001</v>
      </c>
      <c r="D363" s="5" t="s">
        <v>1037</v>
      </c>
      <c r="E363" s="5" t="s">
        <v>39</v>
      </c>
      <c r="F363" s="6">
        <f t="shared" si="0"/>
        <v>92</v>
      </c>
      <c r="G363" s="7">
        <v>100</v>
      </c>
      <c r="H363" s="8" t="s">
        <v>1038</v>
      </c>
      <c r="K363" s="4" t="s">
        <v>1094</v>
      </c>
      <c r="O363" s="41">
        <v>11.5</v>
      </c>
      <c r="P363" s="5" t="s">
        <v>19</v>
      </c>
      <c r="Q363" s="5" t="s">
        <v>19</v>
      </c>
      <c r="R363" s="5" t="s">
        <v>19</v>
      </c>
      <c r="S363" s="44" t="s">
        <v>20</v>
      </c>
      <c r="T363" s="11" t="s">
        <v>20</v>
      </c>
    </row>
    <row r="364" spans="1:20" thickTop="1" thickBot="1" x14ac:dyDescent="0.35">
      <c r="A364" s="3" t="s">
        <v>1101</v>
      </c>
      <c r="B364" s="4" t="s">
        <v>1036</v>
      </c>
      <c r="C364" s="4">
        <v>2002</v>
      </c>
      <c r="D364" s="5" t="s">
        <v>1037</v>
      </c>
      <c r="E364" s="5" t="s">
        <v>39</v>
      </c>
      <c r="F364" s="6">
        <f t="shared" si="0"/>
        <v>92</v>
      </c>
      <c r="G364" s="7">
        <v>100</v>
      </c>
      <c r="H364" s="8" t="s">
        <v>1038</v>
      </c>
      <c r="K364" s="4" t="s">
        <v>1102</v>
      </c>
      <c r="O364" s="41">
        <v>11.5</v>
      </c>
      <c r="P364" s="5" t="s">
        <v>19</v>
      </c>
      <c r="Q364" s="5" t="s">
        <v>19</v>
      </c>
      <c r="R364" s="5" t="s">
        <v>19</v>
      </c>
      <c r="S364" s="44" t="s">
        <v>20</v>
      </c>
      <c r="T364" s="11" t="s">
        <v>20</v>
      </c>
    </row>
    <row r="365" spans="1:20" thickTop="1" thickBot="1" x14ac:dyDescent="0.35">
      <c r="A365" s="3" t="s">
        <v>1103</v>
      </c>
      <c r="B365" s="4" t="s">
        <v>1036</v>
      </c>
      <c r="C365" s="4">
        <v>2002</v>
      </c>
      <c r="D365" s="5" t="s">
        <v>1037</v>
      </c>
      <c r="E365" s="5" t="s">
        <v>39</v>
      </c>
      <c r="F365" s="6">
        <f t="shared" si="0"/>
        <v>92</v>
      </c>
      <c r="G365" s="7">
        <v>100</v>
      </c>
      <c r="H365" s="8" t="s">
        <v>1038</v>
      </c>
      <c r="K365" s="4" t="s">
        <v>1104</v>
      </c>
      <c r="O365" s="41">
        <v>11.5</v>
      </c>
      <c r="P365" s="5" t="s">
        <v>19</v>
      </c>
      <c r="Q365" s="5" t="s">
        <v>19</v>
      </c>
      <c r="R365" s="5" t="s">
        <v>19</v>
      </c>
      <c r="S365" s="44" t="s">
        <v>20</v>
      </c>
      <c r="T365" s="11" t="s">
        <v>20</v>
      </c>
    </row>
    <row r="366" spans="1:20" thickTop="1" thickBot="1" x14ac:dyDescent="0.35">
      <c r="A366" s="3" t="s">
        <v>1105</v>
      </c>
      <c r="B366" s="4" t="s">
        <v>1036</v>
      </c>
      <c r="C366" s="4">
        <v>2003</v>
      </c>
      <c r="D366" s="5" t="s">
        <v>1037</v>
      </c>
      <c r="E366" s="5" t="s">
        <v>39</v>
      </c>
      <c r="F366" s="6">
        <f t="shared" si="0"/>
        <v>92</v>
      </c>
      <c r="G366" s="7">
        <v>100</v>
      </c>
      <c r="H366" s="8" t="s">
        <v>1038</v>
      </c>
      <c r="K366" s="4" t="s">
        <v>1106</v>
      </c>
      <c r="O366" s="41">
        <v>11.5</v>
      </c>
      <c r="P366" s="5" t="s">
        <v>19</v>
      </c>
      <c r="Q366" s="5" t="s">
        <v>19</v>
      </c>
      <c r="R366" s="5" t="s">
        <v>19</v>
      </c>
      <c r="S366" s="44" t="s">
        <v>20</v>
      </c>
      <c r="T366" s="11" t="s">
        <v>20</v>
      </c>
    </row>
    <row r="367" spans="1:20" thickTop="1" thickBot="1" x14ac:dyDescent="0.35">
      <c r="A367" s="3" t="s">
        <v>1042</v>
      </c>
      <c r="B367" s="4" t="s">
        <v>1036</v>
      </c>
      <c r="C367" s="4">
        <v>1985</v>
      </c>
      <c r="D367" s="5" t="s">
        <v>1037</v>
      </c>
      <c r="E367" s="5" t="s">
        <v>39</v>
      </c>
      <c r="F367" s="6">
        <f t="shared" si="0"/>
        <v>92</v>
      </c>
      <c r="G367" s="7">
        <v>100</v>
      </c>
      <c r="H367" s="8" t="s">
        <v>1038</v>
      </c>
      <c r="K367" s="4" t="s">
        <v>1043</v>
      </c>
      <c r="O367" s="41">
        <v>11.5</v>
      </c>
      <c r="P367" s="10" t="s">
        <v>19</v>
      </c>
      <c r="Q367" s="10" t="s">
        <v>19</v>
      </c>
      <c r="R367" s="10" t="s">
        <v>19</v>
      </c>
      <c r="S367" s="44" t="s">
        <v>20</v>
      </c>
      <c r="T367" s="11" t="s">
        <v>20</v>
      </c>
    </row>
    <row r="368" spans="1:20" thickTop="1" thickBot="1" x14ac:dyDescent="0.35">
      <c r="A368" s="3" t="s">
        <v>1107</v>
      </c>
      <c r="B368" s="4" t="s">
        <v>1036</v>
      </c>
      <c r="C368" s="4">
        <v>2003</v>
      </c>
      <c r="D368" s="5" t="s">
        <v>1037</v>
      </c>
      <c r="E368" s="5" t="s">
        <v>39</v>
      </c>
      <c r="F368" s="6">
        <f t="shared" si="0"/>
        <v>92</v>
      </c>
      <c r="G368" s="7">
        <v>100</v>
      </c>
      <c r="H368" s="8" t="s">
        <v>1038</v>
      </c>
      <c r="K368" s="4" t="s">
        <v>1108</v>
      </c>
      <c r="O368" s="41">
        <v>11.5</v>
      </c>
      <c r="P368" s="5" t="s">
        <v>19</v>
      </c>
      <c r="Q368" s="5" t="s">
        <v>19</v>
      </c>
      <c r="R368" s="5" t="s">
        <v>19</v>
      </c>
      <c r="S368" s="44" t="s">
        <v>20</v>
      </c>
      <c r="T368" s="11" t="s">
        <v>20</v>
      </c>
    </row>
    <row r="369" spans="1:20" thickTop="1" thickBot="1" x14ac:dyDescent="0.35">
      <c r="A369" s="3" t="s">
        <v>1112</v>
      </c>
      <c r="B369" s="4" t="s">
        <v>1036</v>
      </c>
      <c r="C369" s="4">
        <v>2004</v>
      </c>
      <c r="D369" s="5" t="s">
        <v>1037</v>
      </c>
      <c r="E369" s="5" t="s">
        <v>39</v>
      </c>
      <c r="F369" s="6">
        <f t="shared" si="0"/>
        <v>92</v>
      </c>
      <c r="G369" s="7">
        <v>100</v>
      </c>
      <c r="H369" s="8" t="s">
        <v>1038</v>
      </c>
      <c r="K369" s="4" t="s">
        <v>1113</v>
      </c>
      <c r="O369" s="41">
        <v>11.5</v>
      </c>
      <c r="P369" s="5" t="s">
        <v>19</v>
      </c>
      <c r="Q369" s="5" t="s">
        <v>19</v>
      </c>
      <c r="R369" s="5" t="s">
        <v>19</v>
      </c>
      <c r="S369" s="44" t="s">
        <v>20</v>
      </c>
      <c r="T369" s="11" t="s">
        <v>20</v>
      </c>
    </row>
    <row r="370" spans="1:20" thickTop="1" thickBot="1" x14ac:dyDescent="0.35">
      <c r="A370" s="3" t="s">
        <v>1114</v>
      </c>
      <c r="B370" s="4" t="s">
        <v>1036</v>
      </c>
      <c r="C370" s="4">
        <v>2004</v>
      </c>
      <c r="D370" s="5" t="s">
        <v>1037</v>
      </c>
      <c r="E370" s="5" t="s">
        <v>39</v>
      </c>
      <c r="F370" s="6">
        <f t="shared" si="0"/>
        <v>92</v>
      </c>
      <c r="G370" s="7">
        <v>100</v>
      </c>
      <c r="H370" s="8" t="s">
        <v>1038</v>
      </c>
      <c r="K370" s="4" t="s">
        <v>1115</v>
      </c>
      <c r="O370" s="41">
        <v>11.5</v>
      </c>
      <c r="P370" s="5" t="s">
        <v>19</v>
      </c>
      <c r="Q370" s="5" t="s">
        <v>19</v>
      </c>
      <c r="R370" s="5" t="s">
        <v>19</v>
      </c>
      <c r="S370" s="44" t="s">
        <v>20</v>
      </c>
      <c r="T370" s="11" t="s">
        <v>20</v>
      </c>
    </row>
    <row r="371" spans="1:20" thickTop="1" thickBot="1" x14ac:dyDescent="0.35">
      <c r="A371" s="3" t="s">
        <v>1044</v>
      </c>
      <c r="B371" s="4" t="s">
        <v>1036</v>
      </c>
      <c r="C371" s="4">
        <v>1986</v>
      </c>
      <c r="D371" s="5" t="s">
        <v>1037</v>
      </c>
      <c r="E371" s="5" t="s">
        <v>39</v>
      </c>
      <c r="F371" s="6">
        <f t="shared" si="0"/>
        <v>92</v>
      </c>
      <c r="G371" s="7">
        <v>100</v>
      </c>
      <c r="H371" s="8" t="s">
        <v>1038</v>
      </c>
      <c r="K371" s="4" t="s">
        <v>1045</v>
      </c>
      <c r="O371" s="41">
        <v>11.5</v>
      </c>
      <c r="P371" s="5" t="s">
        <v>19</v>
      </c>
      <c r="Q371" s="5" t="s">
        <v>19</v>
      </c>
      <c r="R371" s="5" t="s">
        <v>19</v>
      </c>
      <c r="S371" s="44" t="s">
        <v>20</v>
      </c>
      <c r="T371" s="11" t="s">
        <v>20</v>
      </c>
    </row>
    <row r="372" spans="1:20" thickTop="1" thickBot="1" x14ac:dyDescent="0.35">
      <c r="A372" s="3" t="s">
        <v>1046</v>
      </c>
      <c r="B372" s="4" t="s">
        <v>1036</v>
      </c>
      <c r="C372" s="4">
        <v>1986</v>
      </c>
      <c r="D372" s="5" t="s">
        <v>1037</v>
      </c>
      <c r="E372" s="5" t="s">
        <v>39</v>
      </c>
      <c r="F372" s="6">
        <f t="shared" si="0"/>
        <v>92</v>
      </c>
      <c r="G372" s="7">
        <v>100</v>
      </c>
      <c r="H372" s="8" t="s">
        <v>1038</v>
      </c>
      <c r="K372" s="4" t="s">
        <v>1047</v>
      </c>
      <c r="O372" s="41">
        <v>11.5</v>
      </c>
      <c r="P372" s="5" t="s">
        <v>19</v>
      </c>
      <c r="Q372" s="5" t="s">
        <v>19</v>
      </c>
      <c r="R372" s="5" t="s">
        <v>19</v>
      </c>
      <c r="S372" s="44" t="s">
        <v>20</v>
      </c>
      <c r="T372" s="11" t="s">
        <v>20</v>
      </c>
    </row>
    <row r="373" spans="1:20" thickTop="1" thickBot="1" x14ac:dyDescent="0.35">
      <c r="A373" s="3" t="s">
        <v>1048</v>
      </c>
      <c r="B373" s="4" t="s">
        <v>1036</v>
      </c>
      <c r="C373" s="4">
        <v>1987</v>
      </c>
      <c r="D373" s="5" t="s">
        <v>1037</v>
      </c>
      <c r="E373" s="5" t="s">
        <v>39</v>
      </c>
      <c r="F373" s="6">
        <f t="shared" si="0"/>
        <v>92</v>
      </c>
      <c r="G373" s="7">
        <v>100</v>
      </c>
      <c r="H373" s="8" t="s">
        <v>1038</v>
      </c>
      <c r="K373" s="4" t="s">
        <v>1049</v>
      </c>
      <c r="O373" s="41">
        <v>11.5</v>
      </c>
      <c r="P373" s="5" t="s">
        <v>19</v>
      </c>
      <c r="Q373" s="5" t="s">
        <v>19</v>
      </c>
      <c r="R373" s="5" t="s">
        <v>19</v>
      </c>
      <c r="S373" s="44" t="s">
        <v>20</v>
      </c>
      <c r="T373" s="11" t="s">
        <v>20</v>
      </c>
    </row>
    <row r="374" spans="1:20" thickTop="1" thickBot="1" x14ac:dyDescent="0.35">
      <c r="A374" s="3" t="s">
        <v>1050</v>
      </c>
      <c r="B374" s="4" t="s">
        <v>1036</v>
      </c>
      <c r="C374" s="4">
        <v>1987</v>
      </c>
      <c r="D374" s="5" t="s">
        <v>1037</v>
      </c>
      <c r="E374" s="5" t="s">
        <v>39</v>
      </c>
      <c r="F374" s="6">
        <f t="shared" si="0"/>
        <v>92</v>
      </c>
      <c r="G374" s="7">
        <v>100</v>
      </c>
      <c r="H374" s="8" t="s">
        <v>1038</v>
      </c>
      <c r="K374" s="4" t="s">
        <v>1051</v>
      </c>
      <c r="O374" s="41">
        <v>11.5</v>
      </c>
      <c r="P374" s="5" t="s">
        <v>19</v>
      </c>
      <c r="Q374" s="5" t="s">
        <v>19</v>
      </c>
      <c r="R374" s="5" t="s">
        <v>19</v>
      </c>
      <c r="S374" s="44" t="s">
        <v>20</v>
      </c>
      <c r="T374" s="11" t="s">
        <v>20</v>
      </c>
    </row>
    <row r="375" spans="1:20" thickTop="1" thickBot="1" x14ac:dyDescent="0.35">
      <c r="A375" s="3" t="s">
        <v>1052</v>
      </c>
      <c r="B375" s="4" t="s">
        <v>1036</v>
      </c>
      <c r="C375" s="4">
        <v>1988</v>
      </c>
      <c r="D375" s="5" t="s">
        <v>1037</v>
      </c>
      <c r="E375" s="5" t="s">
        <v>39</v>
      </c>
      <c r="F375" s="6">
        <f t="shared" si="0"/>
        <v>92</v>
      </c>
      <c r="G375" s="7">
        <v>100</v>
      </c>
      <c r="H375" s="8" t="s">
        <v>1038</v>
      </c>
      <c r="K375" s="4" t="s">
        <v>1053</v>
      </c>
      <c r="O375" s="41">
        <v>11.5</v>
      </c>
      <c r="P375" s="5" t="s">
        <v>19</v>
      </c>
      <c r="Q375" s="5" t="s">
        <v>19</v>
      </c>
      <c r="R375" s="5" t="s">
        <v>19</v>
      </c>
      <c r="S375" s="44" t="s">
        <v>20</v>
      </c>
      <c r="T375" s="11" t="s">
        <v>20</v>
      </c>
    </row>
    <row r="376" spans="1:20" thickTop="1" thickBot="1" x14ac:dyDescent="0.35">
      <c r="A376" s="3" t="s">
        <v>1054</v>
      </c>
      <c r="B376" s="4" t="s">
        <v>1036</v>
      </c>
      <c r="C376" s="4">
        <v>1988</v>
      </c>
      <c r="D376" s="5" t="s">
        <v>1037</v>
      </c>
      <c r="E376" s="5" t="s">
        <v>39</v>
      </c>
      <c r="F376" s="6">
        <f t="shared" si="0"/>
        <v>92</v>
      </c>
      <c r="G376" s="7">
        <v>100</v>
      </c>
      <c r="H376" s="8" t="s">
        <v>1038</v>
      </c>
      <c r="K376" s="4" t="s">
        <v>1055</v>
      </c>
      <c r="O376" s="41">
        <v>11.5</v>
      </c>
      <c r="P376" s="5" t="s">
        <v>19</v>
      </c>
      <c r="Q376" s="5" t="s">
        <v>19</v>
      </c>
      <c r="R376" s="5" t="s">
        <v>19</v>
      </c>
      <c r="S376" s="44" t="s">
        <v>20</v>
      </c>
      <c r="T376" s="11" t="s">
        <v>20</v>
      </c>
    </row>
    <row r="377" spans="1:20" thickTop="1" thickBot="1" x14ac:dyDescent="0.35">
      <c r="A377" s="3" t="s">
        <v>947</v>
      </c>
      <c r="B377" s="4" t="s">
        <v>22</v>
      </c>
      <c r="C377" s="4">
        <v>53</v>
      </c>
      <c r="D377" s="5" t="s">
        <v>23</v>
      </c>
      <c r="E377" s="5" t="s">
        <v>24</v>
      </c>
      <c r="F377" s="6">
        <f>763-702</f>
        <v>61</v>
      </c>
      <c r="G377" s="7">
        <v>110</v>
      </c>
      <c r="H377" s="8" t="s">
        <v>15</v>
      </c>
      <c r="I377" s="2">
        <v>7143</v>
      </c>
      <c r="J377" s="9" t="s">
        <v>25</v>
      </c>
      <c r="K377" s="4" t="s">
        <v>26</v>
      </c>
      <c r="L377" s="4" t="s">
        <v>27</v>
      </c>
      <c r="M377" s="4" t="s">
        <v>27</v>
      </c>
      <c r="N377" s="10">
        <v>44867</v>
      </c>
      <c r="O377" s="41" t="s">
        <v>990</v>
      </c>
      <c r="P377" s="10" t="s">
        <v>20</v>
      </c>
      <c r="Q377" s="10" t="s">
        <v>20</v>
      </c>
      <c r="R377" s="5" t="s">
        <v>19</v>
      </c>
      <c r="S377" s="5" t="s">
        <v>19</v>
      </c>
      <c r="T377" s="11" t="s">
        <v>20</v>
      </c>
    </row>
    <row r="378" spans="1:20" thickTop="1" thickBot="1" x14ac:dyDescent="0.35">
      <c r="A378" s="3" t="s">
        <v>948</v>
      </c>
      <c r="B378" s="4" t="s">
        <v>200</v>
      </c>
      <c r="C378" s="4">
        <v>-350</v>
      </c>
      <c r="D378" s="5" t="s">
        <v>30</v>
      </c>
      <c r="E378" s="5" t="s">
        <v>75</v>
      </c>
      <c r="F378" s="6">
        <f>405-64</f>
        <v>341</v>
      </c>
      <c r="G378" s="7">
        <v>484</v>
      </c>
      <c r="H378" s="8" t="s">
        <v>949</v>
      </c>
      <c r="I378" s="2">
        <v>1036</v>
      </c>
      <c r="J378" s="9" t="s">
        <v>32</v>
      </c>
      <c r="K378" s="4" t="s">
        <v>950</v>
      </c>
      <c r="L378" s="4" t="s">
        <v>383</v>
      </c>
      <c r="M378" s="4" t="s">
        <v>383</v>
      </c>
      <c r="N378" s="10">
        <v>43617</v>
      </c>
      <c r="O378" s="41">
        <v>12</v>
      </c>
      <c r="P378" s="5" t="s">
        <v>19</v>
      </c>
      <c r="Q378" s="10" t="s">
        <v>19</v>
      </c>
      <c r="R378" s="5" t="s">
        <v>19</v>
      </c>
      <c r="S378" s="5" t="s">
        <v>19</v>
      </c>
      <c r="T378" s="11" t="s">
        <v>20</v>
      </c>
    </row>
    <row r="379" spans="1:20" thickTop="1" thickBot="1" x14ac:dyDescent="0.35">
      <c r="A379" s="3" t="s">
        <v>992</v>
      </c>
      <c r="B379" s="4" t="s">
        <v>993</v>
      </c>
      <c r="C379" s="4">
        <v>1190</v>
      </c>
      <c r="D379" s="5" t="s">
        <v>13</v>
      </c>
      <c r="E379" s="5" t="s">
        <v>39</v>
      </c>
      <c r="F379" s="6">
        <f>225-18</f>
        <v>207</v>
      </c>
      <c r="G379" s="7">
        <v>292</v>
      </c>
      <c r="H379" s="8" t="s">
        <v>57</v>
      </c>
      <c r="I379" s="2">
        <v>1306</v>
      </c>
      <c r="J379" s="9" t="s">
        <v>69</v>
      </c>
      <c r="K379" s="4" t="s">
        <v>994</v>
      </c>
      <c r="L379" s="4" t="s">
        <v>995</v>
      </c>
      <c r="N379" s="13">
        <v>45536</v>
      </c>
      <c r="O379" s="41">
        <v>4.0999999999999996</v>
      </c>
      <c r="P379" s="5" t="s">
        <v>19</v>
      </c>
      <c r="Q379" s="5" t="s">
        <v>19</v>
      </c>
      <c r="R379" s="5" t="s">
        <v>20</v>
      </c>
      <c r="S379" s="16"/>
      <c r="T379" s="11" t="s">
        <v>20</v>
      </c>
    </row>
    <row r="380" spans="1:20" thickTop="1" thickBot="1" x14ac:dyDescent="0.35">
      <c r="A380" s="3" t="s">
        <v>951</v>
      </c>
      <c r="B380" s="4" t="s">
        <v>211</v>
      </c>
      <c r="C380" s="4">
        <v>1895</v>
      </c>
      <c r="D380" s="5" t="s">
        <v>38</v>
      </c>
      <c r="E380" s="5" t="s">
        <v>39</v>
      </c>
      <c r="F380" s="6">
        <f>79-63</f>
        <v>16</v>
      </c>
      <c r="G380" s="7">
        <v>37</v>
      </c>
      <c r="H380" s="8" t="s">
        <v>15</v>
      </c>
      <c r="I380" s="2">
        <v>1459</v>
      </c>
      <c r="J380" s="9" t="s">
        <v>32</v>
      </c>
      <c r="K380" s="4" t="s">
        <v>212</v>
      </c>
      <c r="L380" s="4" t="s">
        <v>213</v>
      </c>
      <c r="M380" s="4" t="str">
        <f>""</f>
        <v/>
      </c>
      <c r="N380" s="5" t="str">
        <f>""</f>
        <v/>
      </c>
      <c r="O380" s="41">
        <v>0</v>
      </c>
      <c r="P380" s="5" t="s">
        <v>20</v>
      </c>
      <c r="Q380" s="10" t="s">
        <v>19</v>
      </c>
      <c r="R380" s="5" t="s">
        <v>20</v>
      </c>
      <c r="S380" s="5" t="str">
        <f>""</f>
        <v/>
      </c>
      <c r="T380" s="11" t="s">
        <v>20</v>
      </c>
    </row>
    <row r="381" spans="1:20" thickTop="1" thickBot="1" x14ac:dyDescent="0.35">
      <c r="A381" s="3" t="s">
        <v>1230</v>
      </c>
      <c r="B381" s="4" t="s">
        <v>1231</v>
      </c>
      <c r="C381" s="4">
        <v>2010</v>
      </c>
      <c r="D381" s="5" t="s">
        <v>1097</v>
      </c>
      <c r="E381" s="5" t="s">
        <v>39</v>
      </c>
      <c r="F381" s="6">
        <v>39</v>
      </c>
      <c r="G381" s="7">
        <v>52</v>
      </c>
      <c r="H381" s="8" t="s">
        <v>1192</v>
      </c>
      <c r="J381" s="9" t="s">
        <v>1193</v>
      </c>
      <c r="K381" s="4" t="s">
        <v>1232</v>
      </c>
      <c r="O381" s="41">
        <v>1.56</v>
      </c>
      <c r="P381" s="5" t="s">
        <v>19</v>
      </c>
      <c r="Q381" s="5" t="s">
        <v>19</v>
      </c>
      <c r="R381" s="5" t="s">
        <v>20</v>
      </c>
      <c r="S381" s="16"/>
      <c r="T381" s="11" t="s">
        <v>20</v>
      </c>
    </row>
    <row r="382" spans="1:20" thickTop="1" thickBot="1" x14ac:dyDescent="0.35">
      <c r="A382" s="3" t="s">
        <v>952</v>
      </c>
      <c r="B382" s="4" t="s">
        <v>211</v>
      </c>
      <c r="C382" s="4">
        <v>1895</v>
      </c>
      <c r="D382" s="5" t="s">
        <v>38</v>
      </c>
      <c r="E382" s="5" t="s">
        <v>39</v>
      </c>
      <c r="F382" s="6">
        <f>249-198</f>
        <v>51</v>
      </c>
      <c r="G382" s="7">
        <v>37</v>
      </c>
      <c r="H382" s="8" t="s">
        <v>15</v>
      </c>
      <c r="I382" s="2">
        <v>1459</v>
      </c>
      <c r="J382" s="9" t="s">
        <v>32</v>
      </c>
      <c r="K382" s="4" t="s">
        <v>212</v>
      </c>
      <c r="L382" s="4" t="s">
        <v>213</v>
      </c>
      <c r="M382" s="4" t="str">
        <f>""</f>
        <v/>
      </c>
      <c r="N382" s="5" t="str">
        <f>""</f>
        <v/>
      </c>
      <c r="O382" s="41">
        <v>0</v>
      </c>
      <c r="P382" s="5" t="s">
        <v>20</v>
      </c>
      <c r="Q382" s="10" t="s">
        <v>19</v>
      </c>
      <c r="R382" s="5" t="s">
        <v>19</v>
      </c>
      <c r="S382" s="5" t="s">
        <v>19</v>
      </c>
      <c r="T382" s="11" t="s">
        <v>20</v>
      </c>
    </row>
    <row r="383" spans="1:20" thickTop="1" thickBot="1" x14ac:dyDescent="0.35">
      <c r="A383" s="3" t="s">
        <v>953</v>
      </c>
      <c r="B383" s="4" t="s">
        <v>103</v>
      </c>
      <c r="C383" s="4">
        <v>1884</v>
      </c>
      <c r="D383" s="5" t="s">
        <v>13</v>
      </c>
      <c r="E383" s="5" t="s">
        <v>39</v>
      </c>
      <c r="F383" s="6">
        <f>313-26</f>
        <v>287</v>
      </c>
      <c r="G383" s="7">
        <v>358</v>
      </c>
      <c r="H383" s="8" t="s">
        <v>15</v>
      </c>
      <c r="I383" s="2">
        <v>3251</v>
      </c>
      <c r="J383" s="9" t="s">
        <v>25</v>
      </c>
      <c r="K383" s="4" t="s">
        <v>954</v>
      </c>
      <c r="L383" s="4" t="s">
        <v>585</v>
      </c>
      <c r="M383" s="4" t="str">
        <f>""</f>
        <v/>
      </c>
      <c r="N383" s="10">
        <v>44438</v>
      </c>
      <c r="O383" s="41">
        <v>3</v>
      </c>
      <c r="P383" s="5" t="s">
        <v>19</v>
      </c>
      <c r="Q383" s="10" t="s">
        <v>19</v>
      </c>
      <c r="R383" s="5" t="s">
        <v>20</v>
      </c>
      <c r="S383" s="5" t="str">
        <f>""</f>
        <v/>
      </c>
      <c r="T383" s="11" t="s">
        <v>20</v>
      </c>
    </row>
    <row r="384" spans="1:20" thickTop="1" thickBot="1" x14ac:dyDescent="0.35">
      <c r="A384" s="3" t="s">
        <v>955</v>
      </c>
      <c r="B384" s="4" t="s">
        <v>956</v>
      </c>
      <c r="C384" s="4">
        <v>2015</v>
      </c>
      <c r="D384" s="5" t="s">
        <v>108</v>
      </c>
      <c r="E384" s="5" t="s">
        <v>31</v>
      </c>
      <c r="F384" s="6">
        <f>694-2</f>
        <v>692</v>
      </c>
      <c r="G384" s="7">
        <v>750</v>
      </c>
      <c r="H384" s="8" t="s">
        <v>91</v>
      </c>
      <c r="I384" s="2" t="str">
        <f>""</f>
        <v/>
      </c>
      <c r="J384" s="9" t="s">
        <v>92</v>
      </c>
      <c r="K384" s="4" t="s">
        <v>957</v>
      </c>
      <c r="L384" s="4" t="str">
        <f>""</f>
        <v/>
      </c>
      <c r="M384" s="4" t="s">
        <v>958</v>
      </c>
      <c r="N384" s="5" t="str">
        <f>""</f>
        <v/>
      </c>
      <c r="O384" s="41">
        <v>20</v>
      </c>
      <c r="P384" s="5" t="s">
        <v>19</v>
      </c>
      <c r="Q384" s="10" t="s">
        <v>19</v>
      </c>
      <c r="R384" s="5" t="s">
        <v>19</v>
      </c>
      <c r="S384" s="5" t="s">
        <v>20</v>
      </c>
      <c r="T384" s="11" t="s">
        <v>20</v>
      </c>
    </row>
    <row r="385" spans="1:20" thickTop="1" thickBot="1" x14ac:dyDescent="0.35">
      <c r="A385" s="3" t="s">
        <v>959</v>
      </c>
      <c r="B385" s="4" t="s">
        <v>960</v>
      </c>
      <c r="C385" s="4">
        <v>2022</v>
      </c>
      <c r="D385" s="5" t="s">
        <v>108</v>
      </c>
      <c r="E385" s="5" t="s">
        <v>31</v>
      </c>
      <c r="F385" s="6">
        <f>398-2</f>
        <v>396</v>
      </c>
      <c r="G385" s="7">
        <v>440</v>
      </c>
      <c r="H385" s="8" t="s">
        <v>91</v>
      </c>
      <c r="I385" s="2" t="str">
        <f>""</f>
        <v/>
      </c>
      <c r="J385" s="9" t="s">
        <v>109</v>
      </c>
      <c r="K385" s="4" t="s">
        <v>961</v>
      </c>
      <c r="L385" s="4" t="str">
        <f>""</f>
        <v/>
      </c>
      <c r="M385" s="4" t="str">
        <f>""</f>
        <v/>
      </c>
      <c r="N385" s="5" t="str">
        <f>""</f>
        <v/>
      </c>
      <c r="O385" s="41">
        <v>25</v>
      </c>
      <c r="P385" s="5" t="s">
        <v>19</v>
      </c>
      <c r="Q385" s="10" t="s">
        <v>19</v>
      </c>
      <c r="R385" s="5" t="s">
        <v>19</v>
      </c>
      <c r="S385" s="5" t="s">
        <v>19</v>
      </c>
      <c r="T385" s="11" t="s">
        <v>20</v>
      </c>
    </row>
    <row r="386" spans="1:20" thickTop="1" thickBot="1" x14ac:dyDescent="0.35">
      <c r="A386" s="3" t="s">
        <v>962</v>
      </c>
      <c r="B386" s="4" t="s">
        <v>211</v>
      </c>
      <c r="C386" s="4">
        <v>1895</v>
      </c>
      <c r="D386" s="5" t="s">
        <v>38</v>
      </c>
      <c r="E386" s="5" t="s">
        <v>39</v>
      </c>
      <c r="F386" s="6">
        <f>179-155</f>
        <v>24</v>
      </c>
      <c r="G386" s="7">
        <v>37</v>
      </c>
      <c r="H386" s="8" t="s">
        <v>15</v>
      </c>
      <c r="I386" s="2">
        <v>1459</v>
      </c>
      <c r="J386" s="9" t="s">
        <v>32</v>
      </c>
      <c r="K386" s="4" t="s">
        <v>212</v>
      </c>
      <c r="L386" s="4" t="s">
        <v>213</v>
      </c>
      <c r="M386" s="4" t="str">
        <f>""</f>
        <v/>
      </c>
      <c r="N386" s="5" t="str">
        <f>""</f>
        <v/>
      </c>
      <c r="O386" s="41">
        <v>0</v>
      </c>
      <c r="P386" s="5" t="s">
        <v>20</v>
      </c>
      <c r="Q386" s="10" t="s">
        <v>19</v>
      </c>
      <c r="R386" s="5" t="s">
        <v>20</v>
      </c>
      <c r="S386" s="5" t="str">
        <f>""</f>
        <v/>
      </c>
      <c r="T386" s="11" t="s">
        <v>20</v>
      </c>
    </row>
    <row r="387" spans="1:20" thickTop="1" thickBot="1" x14ac:dyDescent="0.35">
      <c r="A387" s="3" t="s">
        <v>963</v>
      </c>
      <c r="B387" s="4" t="s">
        <v>748</v>
      </c>
      <c r="C387" s="4">
        <v>260</v>
      </c>
      <c r="D387" s="5" t="s">
        <v>161</v>
      </c>
      <c r="E387" s="5" t="s">
        <v>75</v>
      </c>
      <c r="F387" s="6">
        <f>67-38</f>
        <v>29</v>
      </c>
      <c r="G387" s="7">
        <f>260/2</f>
        <v>130</v>
      </c>
      <c r="H387" s="8" t="s">
        <v>15</v>
      </c>
      <c r="I387" s="2">
        <v>1651</v>
      </c>
      <c r="J387" s="9" t="s">
        <v>32</v>
      </c>
      <c r="K387" s="4" t="s">
        <v>749</v>
      </c>
      <c r="L387" s="4" t="s">
        <v>82</v>
      </c>
      <c r="M387" s="4" t="s">
        <v>82</v>
      </c>
      <c r="N387" s="5" t="str">
        <f>""</f>
        <v/>
      </c>
      <c r="O387" s="41">
        <v>0</v>
      </c>
      <c r="P387" s="5" t="s">
        <v>20</v>
      </c>
      <c r="Q387" s="10" t="s">
        <v>19</v>
      </c>
      <c r="R387" s="5" t="s">
        <v>19</v>
      </c>
      <c r="S387" s="5" t="s">
        <v>20</v>
      </c>
      <c r="T387" s="11" t="s">
        <v>20</v>
      </c>
    </row>
    <row r="388" spans="1:20" thickTop="1" thickBot="1" x14ac:dyDescent="0.35">
      <c r="A388" s="3" t="s">
        <v>964</v>
      </c>
      <c r="B388" s="4" t="s">
        <v>965</v>
      </c>
      <c r="C388" s="4">
        <v>-590</v>
      </c>
      <c r="D388" s="5" t="s">
        <v>161</v>
      </c>
      <c r="E388" s="5" t="s">
        <v>75</v>
      </c>
      <c r="F388" s="6">
        <f>133-38</f>
        <v>95</v>
      </c>
      <c r="G388" s="7">
        <f>454/2</f>
        <v>227</v>
      </c>
      <c r="H388" s="8" t="s">
        <v>15</v>
      </c>
      <c r="I388" s="2">
        <v>6696</v>
      </c>
      <c r="J388" s="9" t="s">
        <v>25</v>
      </c>
      <c r="K388" s="4" t="s">
        <v>319</v>
      </c>
      <c r="L388" s="4" t="s">
        <v>320</v>
      </c>
      <c r="M388" s="4" t="s">
        <v>321</v>
      </c>
      <c r="N388" s="10">
        <v>43688</v>
      </c>
      <c r="O388" s="41"/>
      <c r="P388" s="5" t="s">
        <v>19</v>
      </c>
      <c r="Q388" s="10" t="s">
        <v>19</v>
      </c>
      <c r="R388" s="5" t="s">
        <v>19</v>
      </c>
      <c r="S388" s="5" t="s">
        <v>20</v>
      </c>
      <c r="T388" s="11" t="s">
        <v>20</v>
      </c>
    </row>
    <row r="389" spans="1:20" thickTop="1" thickBot="1" x14ac:dyDescent="0.35">
      <c r="A389" s="3" t="s">
        <v>966</v>
      </c>
      <c r="B389" s="4" t="s">
        <v>728</v>
      </c>
      <c r="C389" s="4">
        <v>1924</v>
      </c>
      <c r="D389" s="5" t="s">
        <v>38</v>
      </c>
      <c r="E389" s="5" t="s">
        <v>252</v>
      </c>
      <c r="F389" s="6">
        <f>95-6</f>
        <v>89</v>
      </c>
      <c r="G389" s="7">
        <f>340/2</f>
        <v>170</v>
      </c>
      <c r="H389" s="8" t="s">
        <v>131</v>
      </c>
      <c r="I389" s="2">
        <v>320</v>
      </c>
      <c r="J389" s="9" t="s">
        <v>38</v>
      </c>
      <c r="K389" s="4" t="s">
        <v>729</v>
      </c>
      <c r="L389" s="4" t="str">
        <f>""</f>
        <v/>
      </c>
      <c r="M389" s="4" t="s">
        <v>730</v>
      </c>
      <c r="N389" s="10">
        <v>44461</v>
      </c>
      <c r="O389" s="41">
        <v>0</v>
      </c>
      <c r="P389" s="5" t="s">
        <v>20</v>
      </c>
      <c r="Q389" s="10" t="s">
        <v>19</v>
      </c>
      <c r="R389" s="5" t="s">
        <v>19</v>
      </c>
      <c r="S389" s="5" t="s">
        <v>19</v>
      </c>
      <c r="T389" s="11" t="s">
        <v>20</v>
      </c>
    </row>
    <row r="390" spans="1:20" thickTop="1" thickBot="1" x14ac:dyDescent="0.35">
      <c r="A390" s="3" t="s">
        <v>967</v>
      </c>
      <c r="B390" s="4" t="s">
        <v>436</v>
      </c>
      <c r="C390" s="4">
        <v>1295</v>
      </c>
      <c r="D390" s="5" t="s">
        <v>38</v>
      </c>
      <c r="E390" s="5" t="s">
        <v>130</v>
      </c>
      <c r="F390" s="6">
        <v>74</v>
      </c>
      <c r="G390" s="7">
        <v>132</v>
      </c>
      <c r="H390" s="8" t="s">
        <v>131</v>
      </c>
      <c r="I390" s="2">
        <v>107</v>
      </c>
      <c r="J390" s="9" t="s">
        <v>38</v>
      </c>
      <c r="K390" s="4" t="s">
        <v>968</v>
      </c>
      <c r="L390" s="4" t="s">
        <v>969</v>
      </c>
      <c r="M390" s="4" t="s">
        <v>969</v>
      </c>
      <c r="N390" s="10">
        <v>42573</v>
      </c>
      <c r="O390" s="41">
        <v>8.3000000000000007</v>
      </c>
      <c r="P390" s="5" t="s">
        <v>19</v>
      </c>
      <c r="Q390" s="10" t="s">
        <v>19</v>
      </c>
      <c r="R390" s="5" t="s">
        <v>19</v>
      </c>
      <c r="S390" s="5" t="s">
        <v>19</v>
      </c>
      <c r="T390" s="11" t="s">
        <v>20</v>
      </c>
    </row>
    <row r="391" spans="1:20" thickTop="1" thickBot="1" x14ac:dyDescent="0.35">
      <c r="A391" s="3" t="s">
        <v>1215</v>
      </c>
      <c r="B391" s="4" t="s">
        <v>1216</v>
      </c>
      <c r="C391" s="4">
        <v>2006</v>
      </c>
      <c r="D391" s="5" t="s">
        <v>1097</v>
      </c>
      <c r="E391" s="5" t="s">
        <v>14</v>
      </c>
      <c r="F391" s="6">
        <v>29</v>
      </c>
      <c r="G391" s="7">
        <v>34</v>
      </c>
      <c r="H391" s="8" t="s">
        <v>1192</v>
      </c>
      <c r="K391" s="4" t="s">
        <v>1217</v>
      </c>
      <c r="M391" s="4" t="s">
        <v>1218</v>
      </c>
      <c r="O391" s="41">
        <v>6</v>
      </c>
      <c r="P391" s="5" t="s">
        <v>19</v>
      </c>
      <c r="Q391" s="5" t="s">
        <v>19</v>
      </c>
      <c r="R391" s="5" t="s">
        <v>19</v>
      </c>
      <c r="S391" s="16" t="s">
        <v>20</v>
      </c>
      <c r="T391" s="11" t="s">
        <v>20</v>
      </c>
    </row>
    <row r="392" spans="1:20" ht="15" thickTop="1" x14ac:dyDescent="0.3">
      <c r="A392" s="68" t="s">
        <v>1021</v>
      </c>
      <c r="B392" s="69" t="s">
        <v>650</v>
      </c>
      <c r="C392" s="69">
        <v>1864</v>
      </c>
      <c r="D392" s="70" t="s">
        <v>13</v>
      </c>
      <c r="E392" s="70" t="s">
        <v>39</v>
      </c>
      <c r="F392" s="71">
        <f>375-34</f>
        <v>341</v>
      </c>
      <c r="G392" s="72">
        <v>468</v>
      </c>
      <c r="H392" s="73" t="s">
        <v>15</v>
      </c>
      <c r="I392" s="74">
        <v>5724</v>
      </c>
      <c r="J392" s="75" t="s">
        <v>25</v>
      </c>
      <c r="K392" s="69" t="s">
        <v>1022</v>
      </c>
      <c r="L392" s="69" t="s">
        <v>1020</v>
      </c>
      <c r="M392" s="69"/>
      <c r="N392" s="76">
        <v>45615</v>
      </c>
      <c r="O392" s="77">
        <v>5.8</v>
      </c>
      <c r="P392" s="70" t="s">
        <v>19</v>
      </c>
      <c r="Q392" s="70" t="s">
        <v>19</v>
      </c>
      <c r="R392" s="70" t="s">
        <v>20</v>
      </c>
      <c r="S392" s="78"/>
      <c r="T392" s="79" t="s">
        <v>20</v>
      </c>
    </row>
    <row r="393" spans="1:20" ht="15" thickBot="1" x14ac:dyDescent="0.35">
      <c r="A393" s="65" t="s">
        <v>970</v>
      </c>
      <c r="B393" s="57" t="s">
        <v>771</v>
      </c>
      <c r="C393" s="57">
        <v>1879</v>
      </c>
      <c r="D393" s="58" t="s">
        <v>161</v>
      </c>
      <c r="E393" s="58" t="s">
        <v>14</v>
      </c>
      <c r="F393" s="59">
        <f>162-30</f>
        <v>132</v>
      </c>
      <c r="G393" s="60">
        <v>176</v>
      </c>
      <c r="H393" s="61" t="s">
        <v>15</v>
      </c>
      <c r="I393" s="62">
        <v>601</v>
      </c>
      <c r="J393" s="63" t="s">
        <v>32</v>
      </c>
      <c r="K393" s="57" t="s">
        <v>971</v>
      </c>
      <c r="L393" s="57" t="s">
        <v>972</v>
      </c>
      <c r="M393" s="57" t="s">
        <v>973</v>
      </c>
      <c r="N393" s="80">
        <v>45108</v>
      </c>
      <c r="O393" s="81">
        <v>6.2</v>
      </c>
      <c r="P393" s="58" t="s">
        <v>19</v>
      </c>
      <c r="Q393" s="80" t="s">
        <v>19</v>
      </c>
      <c r="R393" s="58" t="s">
        <v>20</v>
      </c>
      <c r="S393" s="58" t="str">
        <f>""</f>
        <v/>
      </c>
      <c r="T393" s="82" t="s">
        <v>20</v>
      </c>
    </row>
    <row r="394" spans="1:20" thickTop="1" thickBot="1" x14ac:dyDescent="0.35">
      <c r="A394" s="3" t="s">
        <v>974</v>
      </c>
      <c r="B394" s="4" t="s">
        <v>975</v>
      </c>
      <c r="C394" s="4">
        <v>2021</v>
      </c>
      <c r="D394" s="5" t="s">
        <v>327</v>
      </c>
      <c r="E394" s="5" t="s">
        <v>39</v>
      </c>
      <c r="F394" s="6">
        <f>603-10</f>
        <v>593</v>
      </c>
      <c r="G394" s="7">
        <v>620</v>
      </c>
      <c r="H394" s="8" t="s">
        <v>328</v>
      </c>
      <c r="I394" s="2" t="str">
        <f>""</f>
        <v/>
      </c>
      <c r="J394" s="9" t="str">
        <f>""</f>
        <v/>
      </c>
      <c r="K394" s="4" t="s">
        <v>976</v>
      </c>
      <c r="L394" s="4" t="str">
        <f>""</f>
        <v/>
      </c>
      <c r="M394" s="4" t="str">
        <f>""</f>
        <v/>
      </c>
      <c r="N394" s="10">
        <v>44317</v>
      </c>
      <c r="O394" s="41">
        <v>26.95</v>
      </c>
      <c r="P394" s="5" t="s">
        <v>19</v>
      </c>
      <c r="Q394" s="10" t="s">
        <v>19</v>
      </c>
      <c r="R394" s="5" t="s">
        <v>20</v>
      </c>
      <c r="S394" s="5" t="str">
        <f>""</f>
        <v/>
      </c>
      <c r="T394" s="11" t="s">
        <v>20</v>
      </c>
    </row>
    <row r="395" spans="1:20" thickTop="1" thickBot="1" x14ac:dyDescent="0.35">
      <c r="A395" s="14" t="s">
        <v>977</v>
      </c>
      <c r="B395" s="4" t="s">
        <v>315</v>
      </c>
      <c r="C395" s="4">
        <v>1959</v>
      </c>
      <c r="D395" s="5" t="s">
        <v>13</v>
      </c>
      <c r="E395" s="5" t="s">
        <v>39</v>
      </c>
      <c r="F395" s="6">
        <f>240-10</f>
        <v>230</v>
      </c>
      <c r="G395" s="7">
        <v>260</v>
      </c>
      <c r="H395" s="8" t="s">
        <v>15</v>
      </c>
      <c r="I395" s="2">
        <v>103</v>
      </c>
      <c r="J395" s="9" t="s">
        <v>16</v>
      </c>
      <c r="K395" s="4" t="s">
        <v>978</v>
      </c>
      <c r="L395" s="4" t="str">
        <f>""</f>
        <v/>
      </c>
      <c r="M395" s="4" t="str">
        <f>""</f>
        <v/>
      </c>
      <c r="N395" s="10">
        <v>42824</v>
      </c>
      <c r="O395" s="41" t="s">
        <v>988</v>
      </c>
      <c r="P395" s="5" t="s">
        <v>19</v>
      </c>
      <c r="Q395" s="10" t="s">
        <v>19</v>
      </c>
      <c r="R395" s="5" t="s">
        <v>19</v>
      </c>
      <c r="S395" s="5" t="s">
        <v>20</v>
      </c>
      <c r="T395" s="11" t="s">
        <v>20</v>
      </c>
    </row>
  </sheetData>
  <autoFilter ref="A1:S306" xr:uid="{00000000-0001-0000-0000-000000000000}">
    <sortState xmlns:xlrd2="http://schemas.microsoft.com/office/spreadsheetml/2017/richdata2" ref="A2:S395">
      <sortCondition ref="A1:A306"/>
    </sortState>
  </autoFilter>
  <conditionalFormatting sqref="A1:N1 P1:T1 A396:S1048576">
    <cfRule type="expression" dxfId="220" priority="401">
      <formula>AND(ROW()&gt;4,$A1="")</formula>
    </cfRule>
  </conditionalFormatting>
  <conditionalFormatting sqref="A1:N1 P1:T1 A1048573:S1048576">
    <cfRule type="expression" dxfId="219" priority="417">
      <formula>AND($A1&lt;&gt;"",#REF!&lt;&gt;"")</formula>
    </cfRule>
  </conditionalFormatting>
  <conditionalFormatting sqref="A396:S1048572">
    <cfRule type="expression" dxfId="218" priority="402">
      <formula>AND($A396&lt;&gt;"",$A397&lt;&gt;"")</formula>
    </cfRule>
  </conditionalFormatting>
  <conditionalFormatting sqref="A1048573:S1048576">
    <cfRule type="expression" dxfId="217" priority="415">
      <formula>AND(#REF!&lt;&gt;"",#REF!&lt;&gt;"")</formula>
    </cfRule>
  </conditionalFormatting>
  <conditionalFormatting sqref="A2:T3 A6:T9 P10:Q347 A14:O28 R14:T28 A35:O36 R35:T36 A39:O40 R39:T40 A43:O45 R43:T45 A48:O50 R48:T50 B52:O52 R52:T66 A53:O66 A76:O77 R76:T77 A83:O83 R83:T83 A86:O91 R86:T91 A96:O101 R96:T101 A104:O113 R104:T113 A116:O118 R116:T118 A121:O124 R121:T124 A127:O127 R127:T127 B129:O129 R129:T130 A130:O130 A135:O148 R135:T148 A152:O160 R152:T160 A163:O163 R163:T163 A166:O167 R166:T167 A170:O171 R170:T171 A176:O177 R176:T177 A182:O183 R182:T183 A186:O187 R186:T187 A190:O212 R190:T212 A215:O215 R215:T215 A222:O225 R222:T225 A230:O230 R230:T230 B233:O243 R233:T243 A245:O258 R245:T258 A261:O261 R261:T261 B263:O264 R263:T280 A265:O280 A283:O292 R283:T292 A295:O347 R295:T347 P348:S348 T348:T391 A349:S391 A393:T395">
    <cfRule type="expression" dxfId="216" priority="203">
      <formula>AND($B2&lt;&gt;"",$B3&lt;&gt;"")</formula>
    </cfRule>
  </conditionalFormatting>
  <conditionalFormatting sqref="A2:T296 P297:Q305">
    <cfRule type="expression" dxfId="215" priority="201">
      <formula>ROW()=CELL("ligne")</formula>
    </cfRule>
  </conditionalFormatting>
  <conditionalFormatting sqref="A2:T395">
    <cfRule type="expression" dxfId="214" priority="202">
      <formula>AND(ROW()&gt;4,$B2="")</formula>
    </cfRule>
  </conditionalFormatting>
  <conditionalFormatting sqref="A4:T5 Q6:Q305 A10:P10 R10:T10 A12:P13 R12:T13 A29:P29 R29:T29 A31:P34 R31:T34 A37:P38 R37:T38 A41:P42 R41:T42 A46:P47 R46:T47 A51:P52 R51:T52 A75:P75 R75:T75 A84:P85 R84:T85 A92:P95 R92:T95 A102:P103 R102:T103 A114:P115 R114:T115 A119:P120 R119:T120 A125:P126 R125:T126 A128:P129 R128:T129 A131:P134 R131:T134 A151:P151 R151:T151 A161:P162 R161:T162 A164:P165 R164:T165 A168:P169 R168:T169 A175:P175 R175:T175 A178:P178 R178:T178 A180:P181 R180:T181 A184:P185 R184:T185 A188:P189 R188:T189 A213:P214 R213:T214 A259:P260 R259:T260 A264:P264 R264:T264 A281:P282 R281:T282 A293:P294 R293:T294">
    <cfRule type="expression" dxfId="213" priority="204">
      <formula>AND($B4&lt;&gt;"",$B6&lt;&gt;"")</formula>
    </cfRule>
  </conditionalFormatting>
  <conditionalFormatting sqref="A11:T11 A30:T30 C85:T85 A149:T150 A174:T174 A179:T179 A228:T229 A262:T263">
    <cfRule type="expression" dxfId="212" priority="205">
      <formula>AND($B11&lt;&gt;"",$B14&lt;&gt;"")</formula>
    </cfRule>
  </conditionalFormatting>
  <conditionalFormatting sqref="A67:T70">
    <cfRule type="expression" dxfId="211" priority="215">
      <formula>AND($B67&lt;&gt;"",$B76&lt;&gt;"")</formula>
    </cfRule>
  </conditionalFormatting>
  <conditionalFormatting sqref="A71:T71">
    <cfRule type="expression" dxfId="210" priority="213">
      <formula>AND($B71&lt;&gt;"",$B79&lt;&gt;"")</formula>
    </cfRule>
  </conditionalFormatting>
  <conditionalFormatting sqref="A72:T72">
    <cfRule type="expression" dxfId="209" priority="214">
      <formula>AND($B72&lt;&gt;"",$B79&lt;&gt;"")</formula>
    </cfRule>
  </conditionalFormatting>
  <conditionalFormatting sqref="A73:T74 A80:T82 A216:T221">
    <cfRule type="expression" dxfId="208" priority="208">
      <formula>AND($B73&lt;&gt;"",$B79&lt;&gt;"")</formula>
    </cfRule>
  </conditionalFormatting>
  <conditionalFormatting sqref="A78:T79 A242:T244">
    <cfRule type="expression" dxfId="207" priority="206">
      <formula>AND($B78&lt;&gt;"",$B83&lt;&gt;"")</formula>
    </cfRule>
  </conditionalFormatting>
  <conditionalFormatting sqref="A172:T173 A226:T227">
    <cfRule type="expression" dxfId="206" priority="207">
      <formula>AND($B172&lt;&gt;"",$B176&lt;&gt;"")</formula>
    </cfRule>
  </conditionalFormatting>
  <conditionalFormatting sqref="A231:T237">
    <cfRule type="expression" dxfId="205" priority="211">
      <formula>AND($B231&lt;&gt;"",$B245&lt;&gt;"")</formula>
    </cfRule>
  </conditionalFormatting>
  <conditionalFormatting sqref="A238:T241">
    <cfRule type="expression" dxfId="204" priority="210">
      <formula>AND($B238&lt;&gt;"",$B248&lt;&gt;"")</formula>
    </cfRule>
  </conditionalFormatting>
  <conditionalFormatting sqref="A348:T348">
    <cfRule type="expression" dxfId="203" priority="216">
      <formula>AND($B348&lt;&gt;"",#REF!&lt;&gt;"")</formula>
    </cfRule>
  </conditionalFormatting>
  <conditionalFormatting sqref="A392:T392">
    <cfRule type="expression" dxfId="202" priority="217">
      <formula>AND($B392&lt;&gt;"",#REF!&lt;&gt;"")</formula>
    </cfRule>
  </conditionalFormatting>
  <conditionalFormatting sqref="B172:C172">
    <cfRule type="expression" dxfId="201" priority="188">
      <formula>AND($B172&lt;&gt;"",$B173&lt;&gt;"")</formula>
    </cfRule>
  </conditionalFormatting>
  <conditionalFormatting sqref="B5:T5">
    <cfRule type="expression" dxfId="200" priority="105">
      <formula>AND($B5&lt;&gt;"",$B6&lt;&gt;"")</formula>
    </cfRule>
  </conditionalFormatting>
  <conditionalFormatting sqref="B103:T103">
    <cfRule type="expression" dxfId="199" priority="163">
      <formula>AND($B103&lt;&gt;"",$B104&lt;&gt;"")</formula>
    </cfRule>
  </conditionalFormatting>
  <conditionalFormatting sqref="B229:T229">
    <cfRule type="expression" dxfId="198" priority="209">
      <formula>AND($B229&lt;&gt;"",$B245&lt;&gt;"")</formula>
    </cfRule>
  </conditionalFormatting>
  <conditionalFormatting sqref="B244:T244">
    <cfRule type="expression" dxfId="197" priority="212">
      <formula>AND($B244&lt;&gt;"",#REF!&lt;&gt;"")</formula>
    </cfRule>
  </conditionalFormatting>
  <conditionalFormatting sqref="I41">
    <cfRule type="expression" dxfId="196" priority="197">
      <formula>AND($B41&lt;&gt;"",$B42&lt;&gt;"")</formula>
    </cfRule>
  </conditionalFormatting>
  <conditionalFormatting sqref="I46:I47">
    <cfRule type="expression" dxfId="195" priority="196">
      <formula>AND($B46&lt;&gt;"",$B47&lt;&gt;"")</formula>
    </cfRule>
  </conditionalFormatting>
  <conditionalFormatting sqref="I80">
    <cfRule type="expression" dxfId="194" priority="195">
      <formula>AND($B80&lt;&gt;"",$B81&lt;&gt;"")</formula>
    </cfRule>
  </conditionalFormatting>
  <conditionalFormatting sqref="I84:I85">
    <cfRule type="expression" dxfId="193" priority="194">
      <formula>AND($B84&lt;&gt;"",$B85&lt;&gt;"")</formula>
    </cfRule>
  </conditionalFormatting>
  <conditionalFormatting sqref="I181">
    <cfRule type="expression" dxfId="192" priority="193">
      <formula>AND($B181&lt;&gt;"",$B182&lt;&gt;"")</formula>
    </cfRule>
  </conditionalFormatting>
  <conditionalFormatting sqref="I229">
    <cfRule type="expression" dxfId="191" priority="192">
      <formula>AND($B229&lt;&gt;"",$B230&lt;&gt;"")</formula>
    </cfRule>
  </conditionalFormatting>
  <conditionalFormatting sqref="I297">
    <cfRule type="expression" dxfId="190" priority="191">
      <formula>ROW()=CELL("ligne")</formula>
    </cfRule>
  </conditionalFormatting>
  <conditionalFormatting sqref="I13:J13">
    <cfRule type="expression" dxfId="189" priority="181">
      <formula>AND($B13&lt;&gt;"",$B14&lt;&gt;"")</formula>
    </cfRule>
  </conditionalFormatting>
  <conditionalFormatting sqref="I29:J30">
    <cfRule type="expression" dxfId="188" priority="182">
      <formula>AND($B29&lt;&gt;"",$B30&lt;&gt;"")</formula>
    </cfRule>
  </conditionalFormatting>
  <conditionalFormatting sqref="I67:J67">
    <cfRule type="expression" dxfId="187" priority="184">
      <formula>AND($B67&lt;&gt;"",$B68&lt;&gt;"")</formula>
    </cfRule>
  </conditionalFormatting>
  <conditionalFormatting sqref="I92:J92">
    <cfRule type="expression" dxfId="186" priority="185">
      <formula>AND($B92&lt;&gt;"",$B93&lt;&gt;"")</formula>
    </cfRule>
  </conditionalFormatting>
  <conditionalFormatting sqref="I120:J120">
    <cfRule type="expression" dxfId="185" priority="186">
      <formula>AND($B120&lt;&gt;"",$B121&lt;&gt;"")</formula>
    </cfRule>
  </conditionalFormatting>
  <conditionalFormatting sqref="I172:J172">
    <cfRule type="expression" dxfId="184" priority="189">
      <formula>AND($B172&lt;&gt;"",$B173&lt;&gt;"")</formula>
    </cfRule>
  </conditionalFormatting>
  <conditionalFormatting sqref="I304:J304">
    <cfRule type="expression" dxfId="183" priority="190">
      <formula>ROW()=CELL("ligne")</formula>
    </cfRule>
  </conditionalFormatting>
  <conditionalFormatting sqref="J47">
    <cfRule type="expression" dxfId="182" priority="183">
      <formula>AND($B47&lt;&gt;"",$B48&lt;&gt;"")</formula>
    </cfRule>
  </conditionalFormatting>
  <conditionalFormatting sqref="J128">
    <cfRule type="expression" dxfId="181" priority="187">
      <formula>AND($B128&lt;&gt;"",$B129&lt;&gt;"")</formula>
    </cfRule>
  </conditionalFormatting>
  <conditionalFormatting sqref="K85">
    <cfRule type="expression" dxfId="180" priority="199">
      <formula>AND($B85&lt;&gt;"",$B86&lt;&gt;"")</formula>
    </cfRule>
  </conditionalFormatting>
  <conditionalFormatting sqref="K227">
    <cfRule type="expression" dxfId="179" priority="200">
      <formula>AND($B227&lt;&gt;"",$B228&lt;&gt;"")</formula>
    </cfRule>
  </conditionalFormatting>
  <conditionalFormatting sqref="K229:M229">
    <cfRule type="expression" dxfId="178" priority="138">
      <formula>AND($B229&lt;&gt;"",$B230&lt;&gt;"")</formula>
    </cfRule>
  </conditionalFormatting>
  <conditionalFormatting sqref="L13">
    <cfRule type="expression" dxfId="177" priority="180">
      <formula>AND($B13&lt;&gt;"",$B14&lt;&gt;"")</formula>
    </cfRule>
  </conditionalFormatting>
  <conditionalFormatting sqref="L38">
    <cfRule type="expression" dxfId="176" priority="177">
      <formula>AND($B38&lt;&gt;"",$B39&lt;&gt;"")</formula>
    </cfRule>
  </conditionalFormatting>
  <conditionalFormatting sqref="L73">
    <cfRule type="expression" dxfId="175" priority="171">
      <formula>AND($B73&lt;&gt;"",$B74&lt;&gt;"")</formula>
    </cfRule>
  </conditionalFormatting>
  <conditionalFormatting sqref="L80">
    <cfRule type="expression" dxfId="174" priority="168">
      <formula>AND($B80&lt;&gt;"",$B81&lt;&gt;"")</formula>
    </cfRule>
  </conditionalFormatting>
  <conditionalFormatting sqref="L92">
    <cfRule type="expression" dxfId="173" priority="165">
      <formula>AND($B92&lt;&gt;"",$B93&lt;&gt;"")</formula>
    </cfRule>
  </conditionalFormatting>
  <conditionalFormatting sqref="L114">
    <cfRule type="expression" dxfId="172" priority="162">
      <formula>AND($B114&lt;&gt;"",$B115&lt;&gt;"")</formula>
    </cfRule>
  </conditionalFormatting>
  <conditionalFormatting sqref="L128">
    <cfRule type="expression" dxfId="171" priority="158">
      <formula>AND($B128&lt;&gt;"",$B129&lt;&gt;"")</formula>
    </cfRule>
  </conditionalFormatting>
  <conditionalFormatting sqref="L132">
    <cfRule type="expression" dxfId="170" priority="157">
      <formula>AND($B132&lt;&gt;"",$B133&lt;&gt;"")</formula>
    </cfRule>
  </conditionalFormatting>
  <conditionalFormatting sqref="L165">
    <cfRule type="expression" dxfId="169" priority="151">
      <formula>AND($B165&lt;&gt;"",$B166&lt;&gt;"")</formula>
    </cfRule>
  </conditionalFormatting>
  <conditionalFormatting sqref="L172">
    <cfRule type="expression" dxfId="168" priority="150">
      <formula>AND($B172&lt;&gt;"",$B173&lt;&gt;"")</formula>
    </cfRule>
  </conditionalFormatting>
  <conditionalFormatting sqref="L174">
    <cfRule type="expression" dxfId="167" priority="148">
      <formula>AND($B174&lt;&gt;"",$B175&lt;&gt;"")</formula>
    </cfRule>
  </conditionalFormatting>
  <conditionalFormatting sqref="L180:L181">
    <cfRule type="expression" dxfId="166" priority="146">
      <formula>AND($B180&lt;&gt;"",$B181&lt;&gt;"")</formula>
    </cfRule>
  </conditionalFormatting>
  <conditionalFormatting sqref="L281">
    <cfRule type="expression" dxfId="165" priority="134">
      <formula>AND($B281&lt;&gt;"",$B282&lt;&gt;"")</formula>
    </cfRule>
  </conditionalFormatting>
  <conditionalFormatting sqref="L297">
    <cfRule type="expression" dxfId="164" priority="132">
      <formula>ROW()=CELL("ligne")</formula>
    </cfRule>
  </conditionalFormatting>
  <conditionalFormatting sqref="L301">
    <cfRule type="expression" dxfId="163" priority="130">
      <formula>ROW()=CELL("ligne")</formula>
    </cfRule>
  </conditionalFormatting>
  <conditionalFormatting sqref="L29:M30">
    <cfRule type="expression" dxfId="162" priority="179">
      <formula>AND($B29&lt;&gt;"",$B30&lt;&gt;"")</formula>
    </cfRule>
  </conditionalFormatting>
  <conditionalFormatting sqref="L46:M47">
    <cfRule type="expression" dxfId="161" priority="176">
      <formula>AND($B46&lt;&gt;"",$B47&lt;&gt;"")</formula>
    </cfRule>
  </conditionalFormatting>
  <conditionalFormatting sqref="L67:M67">
    <cfRule type="expression" dxfId="160" priority="174">
      <formula>AND($B67&lt;&gt;"",$B68&lt;&gt;"")</formula>
    </cfRule>
  </conditionalFormatting>
  <conditionalFormatting sqref="L84:M85">
    <cfRule type="expression" dxfId="159" priority="166">
      <formula>AND($B84&lt;&gt;"",$B85&lt;&gt;"")</formula>
    </cfRule>
  </conditionalFormatting>
  <conditionalFormatting sqref="L126:M126">
    <cfRule type="expression" dxfId="158" priority="159">
      <formula>AND($B126&lt;&gt;"",$B127&lt;&gt;"")</formula>
    </cfRule>
  </conditionalFormatting>
  <conditionalFormatting sqref="L244:M244">
    <cfRule type="expression" dxfId="157" priority="136">
      <formula>AND($B244&lt;&gt;"",$B245&lt;&gt;"")</formula>
    </cfRule>
  </conditionalFormatting>
  <conditionalFormatting sqref="L304:M305">
    <cfRule type="expression" dxfId="156" priority="129">
      <formula>ROW()=CELL("ligne")</formula>
    </cfRule>
  </conditionalFormatting>
  <conditionalFormatting sqref="L41:O41">
    <cfRule type="expression" dxfId="155" priority="108">
      <formula>AND($B41&lt;&gt;"",$B42&lt;&gt;"")</formula>
    </cfRule>
  </conditionalFormatting>
  <conditionalFormatting sqref="M32:M33">
    <cfRule type="expression" dxfId="154" priority="178">
      <formula>AND($B32&lt;&gt;"",$B33&lt;&gt;"")</formula>
    </cfRule>
  </conditionalFormatting>
  <conditionalFormatting sqref="M51">
    <cfRule type="expression" dxfId="153" priority="175">
      <formula>AND($B51&lt;&gt;"",$B52&lt;&gt;"")</formula>
    </cfRule>
  </conditionalFormatting>
  <conditionalFormatting sqref="M69:M70">
    <cfRule type="expression" dxfId="152" priority="173">
      <formula>AND($B69&lt;&gt;"",$B70&lt;&gt;"")</formula>
    </cfRule>
  </conditionalFormatting>
  <conditionalFormatting sqref="M72:M73">
    <cfRule type="expression" dxfId="151" priority="172">
      <formula>AND($B72&lt;&gt;"",$B73&lt;&gt;"")</formula>
    </cfRule>
  </conditionalFormatting>
  <conditionalFormatting sqref="M75">
    <cfRule type="expression" dxfId="150" priority="170">
      <formula>AND($B75&lt;&gt;"",$B76&lt;&gt;"")</formula>
    </cfRule>
  </conditionalFormatting>
  <conditionalFormatting sqref="M79:M80">
    <cfRule type="expression" dxfId="149" priority="169">
      <formula>AND($B79&lt;&gt;"",$B80&lt;&gt;"")</formula>
    </cfRule>
  </conditionalFormatting>
  <conditionalFormatting sqref="M82">
    <cfRule type="expression" dxfId="148" priority="167">
      <formula>AND($B82&lt;&gt;"",$B83&lt;&gt;"")</formula>
    </cfRule>
  </conditionalFormatting>
  <conditionalFormatting sqref="M95">
    <cfRule type="expression" dxfId="147" priority="164">
      <formula>AND($B95&lt;&gt;"",$B96&lt;&gt;"")</formula>
    </cfRule>
  </conditionalFormatting>
  <conditionalFormatting sqref="M115">
    <cfRule type="expression" dxfId="146" priority="161">
      <formula>AND($B115&lt;&gt;"",$B116&lt;&gt;"")</formula>
    </cfRule>
  </conditionalFormatting>
  <conditionalFormatting sqref="M120">
    <cfRule type="expression" dxfId="145" priority="160">
      <formula>AND($B120&lt;&gt;"",$B121&lt;&gt;"")</formula>
    </cfRule>
  </conditionalFormatting>
  <conditionalFormatting sqref="M132:M133">
    <cfRule type="expression" dxfId="144" priority="156">
      <formula>AND($B132&lt;&gt;"",$B133&lt;&gt;"")</formula>
    </cfRule>
  </conditionalFormatting>
  <conditionalFormatting sqref="M149">
    <cfRule type="expression" dxfId="143" priority="155">
      <formula>AND($B149&lt;&gt;"",$B150&lt;&gt;"")</formula>
    </cfRule>
  </conditionalFormatting>
  <conditionalFormatting sqref="M151">
    <cfRule type="expression" dxfId="142" priority="154">
      <formula>AND($B151&lt;&gt;"",$B152&lt;&gt;"")</formula>
    </cfRule>
  </conditionalFormatting>
  <conditionalFormatting sqref="M161">
    <cfRule type="expression" dxfId="141" priority="153">
      <formula>AND($B161&lt;&gt;"",$B162&lt;&gt;"")</formula>
    </cfRule>
  </conditionalFormatting>
  <conditionalFormatting sqref="M164:M165">
    <cfRule type="expression" dxfId="140" priority="152">
      <formula>AND($B164&lt;&gt;"",$B165&lt;&gt;"")</formula>
    </cfRule>
  </conditionalFormatting>
  <conditionalFormatting sqref="M172:M173">
    <cfRule type="expression" dxfId="139" priority="149">
      <formula>AND($B172&lt;&gt;"",$B173&lt;&gt;"")</formula>
    </cfRule>
  </conditionalFormatting>
  <conditionalFormatting sqref="M175">
    <cfRule type="expression" dxfId="138" priority="147">
      <formula>AND($B175&lt;&gt;"",$B176&lt;&gt;"")</formula>
    </cfRule>
  </conditionalFormatting>
  <conditionalFormatting sqref="M178:M181">
    <cfRule type="expression" dxfId="137" priority="145">
      <formula>AND($B178&lt;&gt;"",$B179&lt;&gt;"")</formula>
    </cfRule>
  </conditionalFormatting>
  <conditionalFormatting sqref="M184">
    <cfRule type="expression" dxfId="136" priority="144">
      <formula>AND($B184&lt;&gt;"",$B185&lt;&gt;"")</formula>
    </cfRule>
  </conditionalFormatting>
  <conditionalFormatting sqref="M188:M189">
    <cfRule type="expression" dxfId="135" priority="143">
      <formula>AND($B188&lt;&gt;"",$B189&lt;&gt;"")</formula>
    </cfRule>
  </conditionalFormatting>
  <conditionalFormatting sqref="M216">
    <cfRule type="expression" dxfId="134" priority="142">
      <formula>AND($B216&lt;&gt;"",$B217&lt;&gt;"")</formula>
    </cfRule>
  </conditionalFormatting>
  <conditionalFormatting sqref="M219">
    <cfRule type="expression" dxfId="133" priority="141">
      <formula>AND($B219&lt;&gt;"",$B220&lt;&gt;"")</formula>
    </cfRule>
  </conditionalFormatting>
  <conditionalFormatting sqref="M221">
    <cfRule type="expression" dxfId="132" priority="140">
      <formula>AND($B221&lt;&gt;"",$B222&lt;&gt;"")</formula>
    </cfRule>
  </conditionalFormatting>
  <conditionalFormatting sqref="M227">
    <cfRule type="expression" dxfId="131" priority="139">
      <formula>AND($B227&lt;&gt;"",$B228&lt;&gt;"")</formula>
    </cfRule>
  </conditionalFormatting>
  <conditionalFormatting sqref="M231:M232">
    <cfRule type="expression" dxfId="130" priority="137">
      <formula>AND($B231&lt;&gt;"",$B232&lt;&gt;"")</formula>
    </cfRule>
  </conditionalFormatting>
  <conditionalFormatting sqref="M259:M260">
    <cfRule type="expression" dxfId="129" priority="135">
      <formula>AND($B259&lt;&gt;"",$B260&lt;&gt;"")</formula>
    </cfRule>
  </conditionalFormatting>
  <conditionalFormatting sqref="M282">
    <cfRule type="expression" dxfId="128" priority="133">
      <formula>AND($B282&lt;&gt;"",$B283&lt;&gt;"")</formula>
    </cfRule>
  </conditionalFormatting>
  <conditionalFormatting sqref="M297:M298">
    <cfRule type="expression" dxfId="127" priority="131">
      <formula>ROW()=CELL("ligne")</formula>
    </cfRule>
  </conditionalFormatting>
  <conditionalFormatting sqref="M169:O169">
    <cfRule type="expression" dxfId="126" priority="118">
      <formula>AND($B169&lt;&gt;"",$B170&lt;&gt;"")</formula>
    </cfRule>
  </conditionalFormatting>
  <conditionalFormatting sqref="M262:O262">
    <cfRule type="expression" dxfId="125" priority="126">
      <formula>AND($B262&lt;&gt;"",$B263&lt;&gt;"")</formula>
    </cfRule>
  </conditionalFormatting>
  <conditionalFormatting sqref="M293:O294">
    <cfRule type="expression" dxfId="124" priority="127">
      <formula>AND($B293&lt;&gt;"",$B294&lt;&gt;"")</formula>
    </cfRule>
  </conditionalFormatting>
  <conditionalFormatting sqref="N4:O5">
    <cfRule type="expression" dxfId="123" priority="106">
      <formula>AND($B4&lt;&gt;"",$B5&lt;&gt;"")</formula>
    </cfRule>
  </conditionalFormatting>
  <conditionalFormatting sqref="N11:O11">
    <cfRule type="expression" dxfId="122" priority="107">
      <formula>AND($B11&lt;&gt;"",$B12&lt;&gt;"")</formula>
    </cfRule>
  </conditionalFormatting>
  <conditionalFormatting sqref="N47:O47">
    <cfRule type="expression" dxfId="121" priority="109">
      <formula>AND($B47&lt;&gt;"",$B48&lt;&gt;"")</formula>
    </cfRule>
  </conditionalFormatting>
  <conditionalFormatting sqref="N71:O71">
    <cfRule type="expression" dxfId="120" priority="110">
      <formula>AND($B71&lt;&gt;"",$B72&lt;&gt;"")</formula>
    </cfRule>
  </conditionalFormatting>
  <conditionalFormatting sqref="N80:O81">
    <cfRule type="expression" dxfId="119" priority="111">
      <formula>AND($B80&lt;&gt;"",$B81&lt;&gt;"")</formula>
    </cfRule>
  </conditionalFormatting>
  <conditionalFormatting sqref="N85:O85">
    <cfRule type="expression" dxfId="118" priority="112">
      <formula>AND($B85&lt;&gt;"",$B86&lt;&gt;"")</formula>
    </cfRule>
  </conditionalFormatting>
  <conditionalFormatting sqref="N92:O93">
    <cfRule type="expression" dxfId="117" priority="113">
      <formula>AND($B92&lt;&gt;"",$B93&lt;&gt;"")</formula>
    </cfRule>
  </conditionalFormatting>
  <conditionalFormatting sqref="N114:O114">
    <cfRule type="expression" dxfId="116" priority="114">
      <formula>AND($B114&lt;&gt;"",$B115&lt;&gt;"")</formula>
    </cfRule>
  </conditionalFormatting>
  <conditionalFormatting sqref="N125:O125">
    <cfRule type="expression" dxfId="115" priority="115">
      <formula>AND($B125&lt;&gt;"",$B126&lt;&gt;"")</formula>
    </cfRule>
  </conditionalFormatting>
  <conditionalFormatting sqref="N131:O131">
    <cfRule type="expression" dxfId="114" priority="116">
      <formula>AND($B131&lt;&gt;"",$B132&lt;&gt;"")</formula>
    </cfRule>
  </conditionalFormatting>
  <conditionalFormatting sqref="N150:O150">
    <cfRule type="expression" dxfId="113" priority="117">
      <formula>AND($B150&lt;&gt;"",$B151&lt;&gt;"")</formula>
    </cfRule>
  </conditionalFormatting>
  <conditionalFormatting sqref="N181:O181">
    <cfRule type="expression" dxfId="112" priority="119">
      <formula>AND($B181&lt;&gt;"",$B182&lt;&gt;"")</formula>
    </cfRule>
  </conditionalFormatting>
  <conditionalFormatting sqref="N185:O185">
    <cfRule type="expression" dxfId="111" priority="120">
      <formula>AND($B185&lt;&gt;"",$B186&lt;&gt;"")</formula>
    </cfRule>
  </conditionalFormatting>
  <conditionalFormatting sqref="N189:O189">
    <cfRule type="expression" dxfId="110" priority="121">
      <formula>AND($B189&lt;&gt;"",$B190&lt;&gt;"")</formula>
    </cfRule>
  </conditionalFormatting>
  <conditionalFormatting sqref="N213:O214">
    <cfRule type="expression" dxfId="109" priority="122">
      <formula>AND($B213&lt;&gt;"",$B214&lt;&gt;"")</formula>
    </cfRule>
  </conditionalFormatting>
  <conditionalFormatting sqref="N218:O218">
    <cfRule type="expression" dxfId="108" priority="123">
      <formula>AND($B218&lt;&gt;"",$B219&lt;&gt;"")</formula>
    </cfRule>
  </conditionalFormatting>
  <conditionalFormatting sqref="N228:O228">
    <cfRule type="expression" dxfId="107" priority="124">
      <formula>AND($B228&lt;&gt;"",$B229&lt;&gt;"")</formula>
    </cfRule>
  </conditionalFormatting>
  <conditionalFormatting sqref="N260:O260">
    <cfRule type="expression" dxfId="106" priority="125">
      <formula>AND($B260&lt;&gt;"",$B261&lt;&gt;"")</formula>
    </cfRule>
  </conditionalFormatting>
  <conditionalFormatting sqref="N297:O299">
    <cfRule type="expression" dxfId="105" priority="128">
      <formula>ROW()=CELL("ligne")</formula>
    </cfRule>
  </conditionalFormatting>
  <conditionalFormatting sqref="P318">
    <cfRule type="expression" dxfId="104" priority="7">
      <formula>AND($B318&lt;&gt;"",$B319&lt;&gt;"")</formula>
    </cfRule>
    <cfRule type="expression" dxfId="103" priority="8">
      <formula>ROW()=CELL("ligne")</formula>
    </cfRule>
    <cfRule type="expression" dxfId="102" priority="9">
      <formula>AND($B318&lt;&gt;"",$B320&lt;&gt;"")</formula>
    </cfRule>
  </conditionalFormatting>
  <conditionalFormatting sqref="P336:Q338">
    <cfRule type="expression" dxfId="101" priority="2">
      <formula>ROW()=CELL("ligne")</formula>
    </cfRule>
    <cfRule type="expression" dxfId="100" priority="3">
      <formula>AND($B336&lt;&gt;"",$B338&lt;&gt;"")</formula>
    </cfRule>
    <cfRule type="expression" dxfId="99" priority="1">
      <formula>AND($B336&lt;&gt;"",$B337&lt;&gt;"")</formula>
    </cfRule>
  </conditionalFormatting>
  <conditionalFormatting sqref="P329:R330">
    <cfRule type="expression" dxfId="98" priority="4">
      <formula>AND($B329&lt;&gt;"",$B330&lt;&gt;"")</formula>
    </cfRule>
    <cfRule type="expression" dxfId="97" priority="5">
      <formula>ROW()=CELL("ligne")</formula>
    </cfRule>
    <cfRule type="expression" dxfId="96" priority="6">
      <formula>AND($B329&lt;&gt;"",$B331&lt;&gt;"")</formula>
    </cfRule>
  </conditionalFormatting>
  <conditionalFormatting sqref="Q6:Q305">
    <cfRule type="expression" dxfId="95" priority="198">
      <formula>AND($B6&lt;&gt;"",$B7&lt;&gt;"")</formula>
    </cfRule>
  </conditionalFormatting>
  <conditionalFormatting sqref="Q316:Q318">
    <cfRule type="expression" dxfId="94" priority="16">
      <formula>AND($B316&lt;&gt;"",$B317&lt;&gt;"")</formula>
    </cfRule>
    <cfRule type="expression" dxfId="93" priority="17">
      <formula>ROW()=CELL("ligne")</formula>
    </cfRule>
    <cfRule type="expression" dxfId="92" priority="18">
      <formula>AND($B316&lt;&gt;"",$B318&lt;&gt;"")</formula>
    </cfRule>
  </conditionalFormatting>
  <conditionalFormatting sqref="R317:R318">
    <cfRule type="expression" dxfId="91" priority="13">
      <formula>AND($B317&lt;&gt;"",$B318&lt;&gt;"")</formula>
    </cfRule>
    <cfRule type="expression" dxfId="90" priority="14">
      <formula>ROW()=CELL("ligne")</formula>
    </cfRule>
    <cfRule type="expression" dxfId="89" priority="15">
      <formula>AND($B317&lt;&gt;"",$B319&lt;&gt;"")</formula>
    </cfRule>
  </conditionalFormatting>
  <conditionalFormatting sqref="R337:R338">
    <cfRule type="expression" dxfId="88" priority="12">
      <formula>AND($B337&lt;&gt;"",$B339&lt;&gt;"")</formula>
    </cfRule>
    <cfRule type="expression" dxfId="87" priority="11">
      <formula>ROW()=CELL("ligne")</formula>
    </cfRule>
    <cfRule type="expression" dxfId="86" priority="10">
      <formula>AND($B337&lt;&gt;"",$B338&lt;&gt;"")</formula>
    </cfRule>
  </conditionalFormatting>
  <conditionalFormatting sqref="S10:S11">
    <cfRule type="expression" dxfId="85" priority="104">
      <formula>AND($B10&lt;&gt;"",$B11&lt;&gt;"")</formula>
    </cfRule>
  </conditionalFormatting>
  <conditionalFormatting sqref="S32:S33">
    <cfRule type="expression" dxfId="84" priority="103">
      <formula>AND($B32&lt;&gt;"",$B33&lt;&gt;"")</formula>
    </cfRule>
  </conditionalFormatting>
  <conditionalFormatting sqref="S41:S42">
    <cfRule type="expression" dxfId="83" priority="102">
      <formula>AND($B41&lt;&gt;"",$B42&lt;&gt;"")</formula>
    </cfRule>
  </conditionalFormatting>
  <conditionalFormatting sqref="S46">
    <cfRule type="expression" dxfId="82" priority="101">
      <formula>AND($B46&lt;&gt;"",$B47&lt;&gt;"")</formula>
    </cfRule>
  </conditionalFormatting>
  <conditionalFormatting sqref="S51">
    <cfRule type="expression" dxfId="81" priority="100">
      <formula>AND($B51&lt;&gt;"",$B52&lt;&gt;"")</formula>
    </cfRule>
  </conditionalFormatting>
  <conditionalFormatting sqref="S68:S72">
    <cfRule type="expression" dxfId="80" priority="99">
      <formula>AND($B68&lt;&gt;"",$B69&lt;&gt;"")</formula>
    </cfRule>
  </conditionalFormatting>
  <conditionalFormatting sqref="S80:S82">
    <cfRule type="expression" dxfId="79" priority="98">
      <formula>AND($B80&lt;&gt;"",$B81&lt;&gt;"")</formula>
    </cfRule>
  </conditionalFormatting>
  <conditionalFormatting sqref="S85">
    <cfRule type="expression" dxfId="78" priority="97">
      <formula>AND($B85&lt;&gt;"",$B86&lt;&gt;"")</formula>
    </cfRule>
  </conditionalFormatting>
  <conditionalFormatting sqref="S94:S95">
    <cfRule type="expression" dxfId="77" priority="96">
      <formula>AND($B94&lt;&gt;"",$B95&lt;&gt;"")</formula>
    </cfRule>
  </conditionalFormatting>
  <conditionalFormatting sqref="S119:S120">
    <cfRule type="expression" dxfId="76" priority="95">
      <formula>AND($B119&lt;&gt;"",$B120&lt;&gt;"")</formula>
    </cfRule>
  </conditionalFormatting>
  <conditionalFormatting sqref="S125:S126">
    <cfRule type="expression" dxfId="75" priority="94">
      <formula>AND($B125&lt;&gt;"",$B126&lt;&gt;"")</formula>
    </cfRule>
  </conditionalFormatting>
  <conditionalFormatting sqref="S132">
    <cfRule type="expression" dxfId="74" priority="93">
      <formula>AND($B132&lt;&gt;"",$B133&lt;&gt;"")</formula>
    </cfRule>
  </conditionalFormatting>
  <conditionalFormatting sqref="S134">
    <cfRule type="expression" dxfId="73" priority="92">
      <formula>AND($B134&lt;&gt;"",$B135&lt;&gt;"")</formula>
    </cfRule>
  </conditionalFormatting>
  <conditionalFormatting sqref="S150">
    <cfRule type="expression" dxfId="72" priority="91">
      <formula>AND($B150&lt;&gt;"",$B151&lt;&gt;"")</formula>
    </cfRule>
  </conditionalFormatting>
  <conditionalFormatting sqref="S162">
    <cfRule type="expression" dxfId="71" priority="90">
      <formula>AND($B162&lt;&gt;"",$B163&lt;&gt;"")</formula>
    </cfRule>
  </conditionalFormatting>
  <conditionalFormatting sqref="S164:S165">
    <cfRule type="expression" dxfId="70" priority="89">
      <formula>AND($B164&lt;&gt;"",$B165&lt;&gt;"")</formula>
    </cfRule>
  </conditionalFormatting>
  <conditionalFormatting sqref="S169">
    <cfRule type="expression" dxfId="69" priority="88">
      <formula>AND($B169&lt;&gt;"",$B170&lt;&gt;"")</formula>
    </cfRule>
  </conditionalFormatting>
  <conditionalFormatting sqref="S172:S173">
    <cfRule type="expression" dxfId="68" priority="87">
      <formula>AND($B172&lt;&gt;"",$B173&lt;&gt;"")</formula>
    </cfRule>
  </conditionalFormatting>
  <conditionalFormatting sqref="S175">
    <cfRule type="expression" dxfId="67" priority="86">
      <formula>AND($B175&lt;&gt;"",$B179&lt;&gt;"")</formula>
    </cfRule>
    <cfRule type="expression" dxfId="66" priority="85">
      <formula>AND($B175&lt;&gt;"",$B176&lt;&gt;"")</formula>
    </cfRule>
  </conditionalFormatting>
  <conditionalFormatting sqref="S177:S179">
    <cfRule type="expression" dxfId="65" priority="83">
      <formula>AND($B177&lt;&gt;"",$B178&lt;&gt;"")</formula>
    </cfRule>
    <cfRule type="expression" dxfId="64" priority="84">
      <formula>AND($B177&lt;&gt;"",$B181&lt;&gt;"")</formula>
    </cfRule>
  </conditionalFormatting>
  <conditionalFormatting sqref="S182:S184">
    <cfRule type="expression" dxfId="63" priority="82">
      <formula>AND($B182&lt;&gt;"",$B186&lt;&gt;"")</formula>
    </cfRule>
    <cfRule type="expression" dxfId="62" priority="81">
      <formula>AND($B182&lt;&gt;"",$B183&lt;&gt;"")</formula>
    </cfRule>
  </conditionalFormatting>
  <conditionalFormatting sqref="S186:S187">
    <cfRule type="expression" dxfId="61" priority="80">
      <formula>AND($B186&lt;&gt;"",$B190&lt;&gt;"")</formula>
    </cfRule>
    <cfRule type="expression" dxfId="60" priority="79">
      <formula>AND($B186&lt;&gt;"",$B187&lt;&gt;"")</formula>
    </cfRule>
  </conditionalFormatting>
  <conditionalFormatting sqref="S189:S191">
    <cfRule type="expression" dxfId="59" priority="78">
      <formula>AND($B189&lt;&gt;"",$B193&lt;&gt;"")</formula>
    </cfRule>
    <cfRule type="expression" dxfId="58" priority="77">
      <formula>AND($B189&lt;&gt;"",$B190&lt;&gt;"")</formula>
    </cfRule>
  </conditionalFormatting>
  <conditionalFormatting sqref="S194:S197">
    <cfRule type="expression" dxfId="57" priority="76">
      <formula>AND($B194&lt;&gt;"",$B198&lt;&gt;"")</formula>
    </cfRule>
    <cfRule type="expression" dxfId="56" priority="75">
      <formula>AND($B194&lt;&gt;"",$B195&lt;&gt;"")</formula>
    </cfRule>
  </conditionalFormatting>
  <conditionalFormatting sqref="S201:S206">
    <cfRule type="expression" dxfId="55" priority="74">
      <formula>AND($B201&lt;&gt;"",$B205&lt;&gt;"")</formula>
    </cfRule>
    <cfRule type="expression" dxfId="54" priority="73">
      <formula>AND($B201&lt;&gt;"",$B202&lt;&gt;"")</formula>
    </cfRule>
  </conditionalFormatting>
  <conditionalFormatting sqref="S209:S211">
    <cfRule type="expression" dxfId="53" priority="72">
      <formula>AND($B209&lt;&gt;"",$B213&lt;&gt;"")</formula>
    </cfRule>
    <cfRule type="expression" dxfId="52" priority="71">
      <formula>AND($B209&lt;&gt;"",$B210&lt;&gt;"")</formula>
    </cfRule>
  </conditionalFormatting>
  <conditionalFormatting sqref="S217">
    <cfRule type="expression" dxfId="51" priority="70">
      <formula>AND($B217&lt;&gt;"",$B221&lt;&gt;"")</formula>
    </cfRule>
    <cfRule type="expression" dxfId="50" priority="69">
      <formula>AND($B217&lt;&gt;"",$B218&lt;&gt;"")</formula>
    </cfRule>
  </conditionalFormatting>
  <conditionalFormatting sqref="S221:S222">
    <cfRule type="expression" dxfId="49" priority="68">
      <formula>AND($B221&lt;&gt;"",$B225&lt;&gt;"")</formula>
    </cfRule>
    <cfRule type="expression" dxfId="48" priority="67">
      <formula>AND($B221&lt;&gt;"",$B222&lt;&gt;"")</formula>
    </cfRule>
  </conditionalFormatting>
  <conditionalFormatting sqref="S224:S225">
    <cfRule type="expression" dxfId="47" priority="65">
      <formula>AND($B224&lt;&gt;"",$B225&lt;&gt;"")</formula>
    </cfRule>
    <cfRule type="expression" dxfId="46" priority="66">
      <formula>AND($B224&lt;&gt;"",$B228&lt;&gt;"")</formula>
    </cfRule>
  </conditionalFormatting>
  <conditionalFormatting sqref="S227:S228">
    <cfRule type="expression" dxfId="45" priority="63">
      <formula>AND($B227&lt;&gt;"",$B228&lt;&gt;"")</formula>
    </cfRule>
  </conditionalFormatting>
  <conditionalFormatting sqref="S228">
    <cfRule type="expression" dxfId="44" priority="64">
      <formula>AND($B228&lt;&gt;"",$B232&lt;&gt;"")</formula>
    </cfRule>
  </conditionalFormatting>
  <conditionalFormatting sqref="S231">
    <cfRule type="expression" dxfId="43" priority="61">
      <formula>AND($B231&lt;&gt;"",$B232&lt;&gt;"")</formula>
    </cfRule>
    <cfRule type="expression" dxfId="42" priority="62">
      <formula>AND($B231&lt;&gt;"",$B235&lt;&gt;"")</formula>
    </cfRule>
  </conditionalFormatting>
  <conditionalFormatting sqref="S233">
    <cfRule type="expression" dxfId="41" priority="60">
      <formula>AND($B233&lt;&gt;"",$B237&lt;&gt;"")</formula>
    </cfRule>
    <cfRule type="expression" dxfId="40" priority="59">
      <formula>AND($B233&lt;&gt;"",$B234&lt;&gt;"")</formula>
    </cfRule>
  </conditionalFormatting>
  <conditionalFormatting sqref="S235:S236">
    <cfRule type="expression" dxfId="39" priority="58">
      <formula>AND($B235&lt;&gt;"",$B239&lt;&gt;"")</formula>
    </cfRule>
    <cfRule type="expression" dxfId="38" priority="57">
      <formula>AND($B235&lt;&gt;"",$B236&lt;&gt;"")</formula>
    </cfRule>
  </conditionalFormatting>
  <conditionalFormatting sqref="S243:S244">
    <cfRule type="expression" dxfId="37" priority="56">
      <formula>AND($B243&lt;&gt;"",$B247&lt;&gt;"")</formula>
    </cfRule>
    <cfRule type="expression" dxfId="36" priority="55">
      <formula>AND($B243&lt;&gt;"",$B244&lt;&gt;"")</formula>
    </cfRule>
  </conditionalFormatting>
  <conditionalFormatting sqref="S247:S251">
    <cfRule type="expression" dxfId="35" priority="54">
      <formula>AND($B247&lt;&gt;"",$B251&lt;&gt;"")</formula>
    </cfRule>
    <cfRule type="expression" dxfId="34" priority="53">
      <formula>AND($B247&lt;&gt;"",$B248&lt;&gt;"")</formula>
    </cfRule>
  </conditionalFormatting>
  <conditionalFormatting sqref="S253">
    <cfRule type="expression" dxfId="33" priority="52">
      <formula>AND($B253&lt;&gt;"",$B257&lt;&gt;"")</formula>
    </cfRule>
    <cfRule type="expression" dxfId="32" priority="51">
      <formula>AND($B253&lt;&gt;"",$B254&lt;&gt;"")</formula>
    </cfRule>
  </conditionalFormatting>
  <conditionalFormatting sqref="S255:S256">
    <cfRule type="expression" dxfId="31" priority="50">
      <formula>AND($B255&lt;&gt;"",$B259&lt;&gt;"")</formula>
    </cfRule>
    <cfRule type="expression" dxfId="30" priority="49">
      <formula>AND($B255&lt;&gt;"",$B256&lt;&gt;"")</formula>
    </cfRule>
  </conditionalFormatting>
  <conditionalFormatting sqref="S258">
    <cfRule type="expression" dxfId="29" priority="48">
      <formula>AND($B258&lt;&gt;"",$B262&lt;&gt;"")</formula>
    </cfRule>
    <cfRule type="expression" dxfId="28" priority="47">
      <formula>AND($B258&lt;&gt;"",$B259&lt;&gt;"")</formula>
    </cfRule>
  </conditionalFormatting>
  <conditionalFormatting sqref="S260">
    <cfRule type="expression" dxfId="27" priority="46">
      <formula>AND($B260&lt;&gt;"",$B264&lt;&gt;"")</formula>
    </cfRule>
    <cfRule type="expression" dxfId="26" priority="45">
      <formula>AND($B260&lt;&gt;"",$B261&lt;&gt;"")</formula>
    </cfRule>
  </conditionalFormatting>
  <conditionalFormatting sqref="S263">
    <cfRule type="expression" dxfId="25" priority="44">
      <formula>AND($B263&lt;&gt;"",$B267&lt;&gt;"")</formula>
    </cfRule>
    <cfRule type="expression" dxfId="24" priority="43">
      <formula>AND($B263&lt;&gt;"",$B264&lt;&gt;"")</formula>
    </cfRule>
  </conditionalFormatting>
  <conditionalFormatting sqref="S265:S267">
    <cfRule type="expression" dxfId="23" priority="42">
      <formula>AND($B265&lt;&gt;"",$B269&lt;&gt;"")</formula>
    </cfRule>
    <cfRule type="expression" dxfId="22" priority="41">
      <formula>AND($B265&lt;&gt;"",$B266&lt;&gt;"")</formula>
    </cfRule>
  </conditionalFormatting>
  <conditionalFormatting sqref="S269:S270">
    <cfRule type="expression" dxfId="21" priority="40">
      <formula>AND($B269&lt;&gt;"",$B273&lt;&gt;"")</formula>
    </cfRule>
    <cfRule type="expression" dxfId="20" priority="39">
      <formula>AND($B269&lt;&gt;"",$B270&lt;&gt;"")</formula>
    </cfRule>
  </conditionalFormatting>
  <conditionalFormatting sqref="S275">
    <cfRule type="expression" dxfId="19" priority="38">
      <formula>AND($B275&lt;&gt;"",$B279&lt;&gt;"")</formula>
    </cfRule>
    <cfRule type="expression" dxfId="18" priority="37">
      <formula>AND($B275&lt;&gt;"",$B276&lt;&gt;"")</formula>
    </cfRule>
  </conditionalFormatting>
  <conditionalFormatting sqref="S278:S279">
    <cfRule type="expression" dxfId="17" priority="35">
      <formula>AND($B278&lt;&gt;"",$B279&lt;&gt;"")</formula>
    </cfRule>
    <cfRule type="expression" dxfId="16" priority="36">
      <formula>AND($B278&lt;&gt;"",$B282&lt;&gt;"")</formula>
    </cfRule>
  </conditionalFormatting>
  <conditionalFormatting sqref="S283">
    <cfRule type="expression" dxfId="15" priority="33">
      <formula>AND($B283&lt;&gt;"",$B284&lt;&gt;"")</formula>
    </cfRule>
    <cfRule type="expression" dxfId="14" priority="34">
      <formula>AND($B283&lt;&gt;"",$B287&lt;&gt;"")</formula>
    </cfRule>
  </conditionalFormatting>
  <conditionalFormatting sqref="S285:S288">
    <cfRule type="expression" dxfId="13" priority="32">
      <formula>AND($B285&lt;&gt;"",$B289&lt;&gt;"")</formula>
    </cfRule>
    <cfRule type="expression" dxfId="12" priority="31">
      <formula>AND($B285&lt;&gt;"",$B286&lt;&gt;"")</formula>
    </cfRule>
  </conditionalFormatting>
  <conditionalFormatting sqref="S291">
    <cfRule type="expression" dxfId="11" priority="30">
      <formula>AND($B291&lt;&gt;"",$B295&lt;&gt;"")</formula>
    </cfRule>
    <cfRule type="expression" dxfId="10" priority="29">
      <formula>AND($B291&lt;&gt;"",$B292&lt;&gt;"")</formula>
    </cfRule>
  </conditionalFormatting>
  <conditionalFormatting sqref="S293">
    <cfRule type="expression" dxfId="9" priority="27">
      <formula>AND($B293&lt;&gt;"",$B294&lt;&gt;"")</formula>
    </cfRule>
    <cfRule type="expression" dxfId="8" priority="28">
      <formula>AND($B293&lt;&gt;"",$B297&lt;&gt;"")</formula>
    </cfRule>
  </conditionalFormatting>
  <conditionalFormatting sqref="S295">
    <cfRule type="expression" dxfId="7" priority="26">
      <formula>AND($B295&lt;&gt;"",$B299&lt;&gt;"")</formula>
    </cfRule>
    <cfRule type="expression" dxfId="6" priority="25">
      <formula>AND($B295&lt;&gt;"",$B296&lt;&gt;"")</formula>
    </cfRule>
  </conditionalFormatting>
  <conditionalFormatting sqref="S298">
    <cfRule type="expression" dxfId="5" priority="23">
      <formula>AND($B298&lt;&gt;"",$B302&lt;&gt;"")</formula>
    </cfRule>
    <cfRule type="expression" dxfId="4" priority="22">
      <formula>AND($B298&lt;&gt;"",$B299&lt;&gt;"")</formula>
    </cfRule>
    <cfRule type="expression" dxfId="3" priority="24">
      <formula>ROW()=CELL("ligne")</formula>
    </cfRule>
  </conditionalFormatting>
  <conditionalFormatting sqref="S303:S304">
    <cfRule type="expression" dxfId="2" priority="21">
      <formula>ROW()=CELL("ligne")</formula>
    </cfRule>
    <cfRule type="expression" dxfId="1" priority="20">
      <formula>AND($B303&lt;&gt;"",$B307&lt;&gt;"")</formula>
    </cfRule>
    <cfRule type="expression" dxfId="0" priority="19">
      <formula>AND($B303&lt;&gt;"",$B304&lt;&gt;"")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DENIS</dc:creator>
  <cp:lastModifiedBy>Théo DENIS</cp:lastModifiedBy>
  <dcterms:created xsi:type="dcterms:W3CDTF">2015-06-05T18:17:20Z</dcterms:created>
  <dcterms:modified xsi:type="dcterms:W3CDTF">2025-05-18T10:03:18Z</dcterms:modified>
</cp:coreProperties>
</file>