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ens\Downloads\"/>
    </mc:Choice>
  </mc:AlternateContent>
  <xr:revisionPtr revIDLastSave="0" documentId="13_ncr:1_{D5C3EC38-76F1-4B5A-8117-553B3885EF5F}" xr6:coauthVersionLast="47" xr6:coauthVersionMax="47" xr10:uidLastSave="{00000000-0000-0000-0000-000000000000}"/>
  <bookViews>
    <workbookView xWindow="-104" yWindow="-104" windowWidth="22326" windowHeight="11947" xr2:uid="{2E1BAC7A-84E7-4C0D-9A7C-A5857961BEA8}"/>
  </bookViews>
  <sheets>
    <sheet name="Dashbord" sheetId="2" r:id="rId1"/>
    <sheet name="Dados" sheetId="1" r:id="rId2"/>
  </sheets>
  <definedNames>
    <definedName name="_xlnm._FilterDatabase" localSheetId="1" hidden="1">Dados!$B$40:$C$52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6" i="1" l="1"/>
  <c r="AJ26" i="1"/>
  <c r="AK26" i="1"/>
  <c r="AL26" i="1"/>
  <c r="AM26" i="1"/>
  <c r="AN26" i="1"/>
  <c r="AO26" i="1"/>
  <c r="AP26" i="1"/>
  <c r="AQ26" i="1"/>
  <c r="AR26" i="1"/>
  <c r="AS26" i="1"/>
  <c r="AT26" i="1"/>
  <c r="AH26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H25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H24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H23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H22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H21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H20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H19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H18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H17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H12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H11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H10" i="1"/>
  <c r="AI9" i="1"/>
  <c r="AJ9" i="1"/>
  <c r="AK9" i="1"/>
  <c r="AL9" i="1"/>
  <c r="AM9" i="1"/>
  <c r="AN9" i="1"/>
  <c r="AO9" i="1"/>
  <c r="AP9" i="1"/>
  <c r="AQ9" i="1"/>
  <c r="AR9" i="1"/>
  <c r="AS9" i="1"/>
  <c r="AT9" i="1"/>
  <c r="AH9" i="1"/>
  <c r="AI8" i="1"/>
  <c r="AJ8" i="1"/>
  <c r="AK8" i="1"/>
  <c r="AL8" i="1"/>
  <c r="AM8" i="1"/>
  <c r="AN8" i="1"/>
  <c r="AO8" i="1"/>
  <c r="AP8" i="1"/>
  <c r="AQ8" i="1"/>
  <c r="AR8" i="1"/>
  <c r="AS8" i="1"/>
  <c r="AT8" i="1"/>
  <c r="AH8" i="1"/>
  <c r="AI7" i="1"/>
  <c r="AJ7" i="1"/>
  <c r="AK7" i="1"/>
  <c r="AL7" i="1"/>
  <c r="AM7" i="1"/>
  <c r="AN7" i="1"/>
  <c r="AO7" i="1"/>
  <c r="AP7" i="1"/>
  <c r="AQ7" i="1"/>
  <c r="AR7" i="1"/>
  <c r="AS7" i="1"/>
  <c r="AT7" i="1"/>
  <c r="AH7" i="1"/>
  <c r="AI6" i="1"/>
  <c r="AJ6" i="1"/>
  <c r="AK6" i="1"/>
  <c r="AL6" i="1"/>
  <c r="AM6" i="1"/>
  <c r="AN6" i="1"/>
  <c r="AO6" i="1"/>
  <c r="AP6" i="1"/>
  <c r="AQ6" i="1"/>
  <c r="AR6" i="1"/>
  <c r="AS6" i="1"/>
  <c r="AT6" i="1"/>
  <c r="AH6" i="1"/>
  <c r="AI5" i="1"/>
  <c r="AJ5" i="1"/>
  <c r="AK5" i="1"/>
  <c r="AL5" i="1"/>
  <c r="AM5" i="1"/>
  <c r="AN5" i="1"/>
  <c r="AO5" i="1"/>
  <c r="AP5" i="1"/>
  <c r="AQ5" i="1"/>
  <c r="AR5" i="1"/>
  <c r="AS5" i="1"/>
  <c r="AT5" i="1"/>
  <c r="AH5" i="1"/>
  <c r="AI4" i="1"/>
  <c r="AJ4" i="1"/>
  <c r="AK4" i="1"/>
  <c r="AL4" i="1"/>
  <c r="AM4" i="1"/>
  <c r="AN4" i="1"/>
  <c r="AO4" i="1"/>
  <c r="AP4" i="1"/>
  <c r="AQ4" i="1"/>
  <c r="AR4" i="1"/>
  <c r="AS4" i="1"/>
  <c r="AT4" i="1"/>
  <c r="AH4" i="1"/>
  <c r="AI3" i="1"/>
  <c r="AJ3" i="1"/>
  <c r="AK3" i="1"/>
  <c r="AL3" i="1"/>
  <c r="AM3" i="1"/>
  <c r="AN3" i="1"/>
  <c r="AO3" i="1"/>
  <c r="AP3" i="1"/>
  <c r="AQ3" i="1"/>
  <c r="AR3" i="1"/>
  <c r="AS3" i="1"/>
  <c r="AT3" i="1"/>
  <c r="AH3" i="1"/>
  <c r="E38" i="1"/>
  <c r="E37" i="1"/>
  <c r="E36" i="1"/>
  <c r="E35" i="1"/>
  <c r="E34" i="1"/>
  <c r="E33" i="1"/>
  <c r="E32" i="1"/>
  <c r="E31" i="1"/>
  <c r="E30" i="1"/>
  <c r="E29" i="1"/>
  <c r="D38" i="1"/>
  <c r="D37" i="1"/>
  <c r="D36" i="1"/>
  <c r="D35" i="1"/>
  <c r="D34" i="1"/>
  <c r="D33" i="1"/>
  <c r="D32" i="1"/>
  <c r="D31" i="1"/>
  <c r="D30" i="1"/>
  <c r="D29" i="1"/>
  <c r="C38" i="1"/>
  <c r="C37" i="1"/>
  <c r="C36" i="1"/>
  <c r="C35" i="1"/>
  <c r="C34" i="1"/>
  <c r="C33" i="1"/>
  <c r="C32" i="1"/>
  <c r="C31" i="1"/>
  <c r="C30" i="1"/>
  <c r="C29" i="1"/>
  <c r="E25" i="1"/>
  <c r="E24" i="1"/>
  <c r="E23" i="1"/>
  <c r="E22" i="1"/>
  <c r="E21" i="1"/>
  <c r="E20" i="1"/>
  <c r="E19" i="1"/>
  <c r="E18" i="1"/>
  <c r="E17" i="1"/>
  <c r="E16" i="1"/>
  <c r="D25" i="1"/>
  <c r="D24" i="1"/>
  <c r="D23" i="1"/>
  <c r="D22" i="1"/>
  <c r="D21" i="1"/>
  <c r="D20" i="1"/>
  <c r="D19" i="1"/>
  <c r="D18" i="1"/>
  <c r="D17" i="1"/>
  <c r="D16" i="1"/>
  <c r="C25" i="1"/>
  <c r="C24" i="1"/>
  <c r="C23" i="1"/>
  <c r="C22" i="1"/>
  <c r="C21" i="1"/>
  <c r="C20" i="1"/>
  <c r="C19" i="1"/>
  <c r="C18" i="1"/>
  <c r="C17" i="1"/>
  <c r="C16" i="1"/>
  <c r="E12" i="1"/>
  <c r="E11" i="1"/>
  <c r="E10" i="1"/>
  <c r="E9" i="1"/>
  <c r="E8" i="1"/>
  <c r="E7" i="1"/>
  <c r="E6" i="1"/>
  <c r="E5" i="1"/>
  <c r="E4" i="1"/>
  <c r="E3" i="1"/>
  <c r="D12" i="1"/>
  <c r="D11" i="1"/>
  <c r="D10" i="1"/>
  <c r="D9" i="1"/>
  <c r="D8" i="1"/>
  <c r="D7" i="1"/>
  <c r="D6" i="1"/>
  <c r="D5" i="1"/>
  <c r="D4" i="1"/>
  <c r="D3" i="1"/>
  <c r="C12" i="1"/>
  <c r="C11" i="1"/>
  <c r="C10" i="1"/>
  <c r="C9" i="1"/>
  <c r="C8" i="1"/>
  <c r="C7" i="1"/>
  <c r="C6" i="1"/>
  <c r="C5" i="1"/>
  <c r="C4" i="1"/>
  <c r="C3" i="1"/>
  <c r="I3" i="1" l="1"/>
  <c r="I8" i="1" s="1"/>
  <c r="I10" i="1" l="1"/>
  <c r="L10" i="1" s="1"/>
  <c r="I9" i="1"/>
  <c r="K9" i="1" s="1"/>
  <c r="K8" i="1"/>
  <c r="I7" i="1"/>
  <c r="K7" i="1" s="1"/>
  <c r="I4" i="1"/>
  <c r="K4" i="1" s="1"/>
  <c r="I6" i="1"/>
  <c r="J6" i="1" s="1"/>
  <c r="L8" i="1"/>
  <c r="I13" i="1"/>
  <c r="K13" i="1" s="1"/>
  <c r="I5" i="1"/>
  <c r="L5" i="1" s="1"/>
  <c r="I12" i="1"/>
  <c r="K12" i="1" s="1"/>
  <c r="I14" i="1"/>
  <c r="J14" i="1" s="1"/>
  <c r="J8" i="1"/>
  <c r="I11" i="1"/>
  <c r="L11" i="1" s="1"/>
  <c r="K10" i="1" l="1"/>
  <c r="L6" i="1"/>
  <c r="J10" i="1"/>
  <c r="L9" i="1"/>
  <c r="L7" i="1"/>
  <c r="K6" i="1"/>
  <c r="J7" i="1"/>
  <c r="J13" i="1"/>
  <c r="J4" i="1"/>
  <c r="J11" i="1"/>
  <c r="L14" i="1"/>
  <c r="K11" i="1"/>
  <c r="L13" i="1"/>
  <c r="L4" i="1"/>
  <c r="J12" i="1"/>
  <c r="L12" i="1"/>
  <c r="K5" i="1"/>
  <c r="J9" i="1"/>
  <c r="J5" i="1"/>
  <c r="K14" i="1"/>
  <c r="BO2" i="2"/>
</calcChain>
</file>

<file path=xl/sharedStrings.xml><?xml version="1.0" encoding="utf-8"?>
<sst xmlns="http://schemas.openxmlformats.org/spreadsheetml/2006/main" count="271" uniqueCount="39">
  <si>
    <t>Atualização</t>
  </si>
  <si>
    <t>Dashboard de análise sobre cursos mais recorentes</t>
  </si>
  <si>
    <t>Administração</t>
  </si>
  <si>
    <t>Pedagogia</t>
  </si>
  <si>
    <t>Direito</t>
  </si>
  <si>
    <t>Contabilidade</t>
  </si>
  <si>
    <t>Enfermagem</t>
  </si>
  <si>
    <t>Gestão de pessoas</t>
  </si>
  <si>
    <t>Sistemas de informação</t>
  </si>
  <si>
    <t>Engenharia civil</t>
  </si>
  <si>
    <t>Psicologia</t>
  </si>
  <si>
    <t>Educação física</t>
  </si>
  <si>
    <t>Educação física formação de professor</t>
  </si>
  <si>
    <t>Logística</t>
  </si>
  <si>
    <t>Marketing</t>
  </si>
  <si>
    <t>Formandos</t>
  </si>
  <si>
    <t>Vagas</t>
  </si>
  <si>
    <t>Top 10 cursos mais QUANTIDADE DE VAGAS</t>
  </si>
  <si>
    <t>inscritos</t>
  </si>
  <si>
    <t>Pesos</t>
  </si>
  <si>
    <t>Cursos mais ofertados e procurados</t>
  </si>
  <si>
    <t>Top 10 cursos mais concluintes</t>
  </si>
  <si>
    <t>Top 10 cursos mais ingressantes</t>
  </si>
  <si>
    <t>indice</t>
  </si>
  <si>
    <t>Soma dos pesos</t>
  </si>
  <si>
    <t>X</t>
  </si>
  <si>
    <t>Curso</t>
  </si>
  <si>
    <t>Grafico</t>
  </si>
  <si>
    <t>Concluintes</t>
  </si>
  <si>
    <t>Teste</t>
  </si>
  <si>
    <t>/1000</t>
  </si>
  <si>
    <t>Ingressantes</t>
  </si>
  <si>
    <t>Ano</t>
  </si>
  <si>
    <t>Cursos</t>
  </si>
  <si>
    <t>Qtd_ingressante</t>
  </si>
  <si>
    <t>Qtd vaga</t>
  </si>
  <si>
    <t>Gestão de Pessoas</t>
  </si>
  <si>
    <t>Educação FíSICA</t>
  </si>
  <si>
    <t>Educação Física Formação para 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</si>
</sst>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Dashed">
        <color theme="4" tint="0.3999450666829432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3" fontId="0" fillId="0" borderId="0" xfId="0" applyNumberFormat="1"/>
    <xf numFmtId="4" fontId="0" fillId="0" borderId="0" xfId="0" applyNumberFormat="1"/>
    <xf numFmtId="10" fontId="0" fillId="0" borderId="0" xfId="1" applyNumberFormat="1" applyFont="1"/>
    <xf numFmtId="0" fontId="1" fillId="0" borderId="1" xfId="0" applyFont="1" applyBorder="1"/>
    <xf numFmtId="0" fontId="0" fillId="0" borderId="1" xfId="0" applyBorder="1"/>
    <xf numFmtId="3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1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Dados!$J$4</c:f>
              <c:strCache>
                <c:ptCount val="1"/>
                <c:pt idx="0">
                  <c:v>inscritos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Dados!$I$5:$I$14</c:f>
              <c:strCache>
                <c:ptCount val="10"/>
                <c:pt idx="0">
                  <c:v>Administração</c:v>
                </c:pt>
                <c:pt idx="1">
                  <c:v>Pedagogia</c:v>
                </c:pt>
                <c:pt idx="2">
                  <c:v>Contabilidade</c:v>
                </c:pt>
                <c:pt idx="3">
                  <c:v>Direito</c:v>
                </c:pt>
                <c:pt idx="4">
                  <c:v>Sistemas de informação</c:v>
                </c:pt>
                <c:pt idx="5">
                  <c:v>Gestão de pessoas</c:v>
                </c:pt>
                <c:pt idx="6">
                  <c:v>Engenharia civil</c:v>
                </c:pt>
                <c:pt idx="7">
                  <c:v>Enfermagem</c:v>
                </c:pt>
                <c:pt idx="8">
                  <c:v>Logística</c:v>
                </c:pt>
                <c:pt idx="9">
                  <c:v>Marketing</c:v>
                </c:pt>
              </c:strCache>
            </c:strRef>
          </c:cat>
          <c:val>
            <c:numRef>
              <c:f>Dados!$J$5:$J$14</c:f>
              <c:numCache>
                <c:formatCode>#,##0</c:formatCode>
                <c:ptCount val="10"/>
                <c:pt idx="0">
                  <c:v>3727.49</c:v>
                </c:pt>
                <c:pt idx="1">
                  <c:v>3622.36</c:v>
                </c:pt>
                <c:pt idx="2">
                  <c:v>1758.2919999999999</c:v>
                </c:pt>
                <c:pt idx="3">
                  <c:v>3046.924</c:v>
                </c:pt>
                <c:pt idx="4">
                  <c:v>1261.6890000000001</c:v>
                </c:pt>
                <c:pt idx="5">
                  <c:v>1425.9670000000001</c:v>
                </c:pt>
                <c:pt idx="6">
                  <c:v>1126.5820000000001</c:v>
                </c:pt>
                <c:pt idx="7">
                  <c:v>1512.2149999999999</c:v>
                </c:pt>
                <c:pt idx="8">
                  <c:v>760.79399999999998</c:v>
                </c:pt>
                <c:pt idx="9" formatCode="#,##0.00">
                  <c:v>536.54600000000005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B-4CFF-9152-E24034EFE697}"/>
            </c:ext>
          </c:extLst>
        </c:ser>
        <c:ser>
          <c:idx val="1"/>
          <c:order val="1"/>
          <c:tx>
            <c:strRef>
              <c:f>Dados!$K$4</c:f>
              <c:strCache>
                <c:ptCount val="1"/>
                <c:pt idx="0">
                  <c:v>Formandos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Dados!$K$5:$K$14</c:f>
              <c:numCache>
                <c:formatCode>#,##0</c:formatCode>
                <c:ptCount val="10"/>
                <c:pt idx="0">
                  <c:v>1415.8409999999999</c:v>
                </c:pt>
                <c:pt idx="1">
                  <c:v>1604.606</c:v>
                </c:pt>
                <c:pt idx="2">
                  <c:v>621.95399999999995</c:v>
                </c:pt>
                <c:pt idx="3">
                  <c:v>1401.2080000000001</c:v>
                </c:pt>
                <c:pt idx="4">
                  <c:v>322.81599999999997</c:v>
                </c:pt>
                <c:pt idx="5">
                  <c:v>521.80999999999995</c:v>
                </c:pt>
                <c:pt idx="6">
                  <c:v>375.96300000000002</c:v>
                </c:pt>
                <c:pt idx="7">
                  <c:v>528.84199999999998</c:v>
                </c:pt>
                <c:pt idx="8">
                  <c:v>258.928</c:v>
                </c:pt>
                <c:pt idx="9" formatCode="#,##0.00">
                  <c:v>151.80600000000001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B-4CFF-9152-E24034EFE697}"/>
            </c:ext>
          </c:extLst>
        </c:ser>
        <c:ser>
          <c:idx val="2"/>
          <c:order val="2"/>
          <c:tx>
            <c:strRef>
              <c:f>Dados!$L$4</c:f>
              <c:strCache>
                <c:ptCount val="1"/>
                <c:pt idx="0">
                  <c:v>Vagas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Dados!$L$5:$L$14</c:f>
              <c:numCache>
                <c:formatCode>#,##0</c:formatCode>
                <c:ptCount val="10"/>
                <c:pt idx="0">
                  <c:v>11017.879000000001</c:v>
                </c:pt>
                <c:pt idx="1">
                  <c:v>8813.8320000000003</c:v>
                </c:pt>
                <c:pt idx="2">
                  <c:v>6034.2839999999997</c:v>
                </c:pt>
                <c:pt idx="3">
                  <c:v>4982.2709999999997</c:v>
                </c:pt>
                <c:pt idx="4">
                  <c:v>4748.3509999999997</c:v>
                </c:pt>
                <c:pt idx="5">
                  <c:v>4738.0200000000004</c:v>
                </c:pt>
                <c:pt idx="6">
                  <c:v>3716.893</c:v>
                </c:pt>
                <c:pt idx="7">
                  <c:v>3558.9079999999999</c:v>
                </c:pt>
                <c:pt idx="8">
                  <c:v>3209.6880000000001</c:v>
                </c:pt>
                <c:pt idx="9" formatCode="#,##0.00">
                  <c:v>3102.152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B-4CFF-9152-E24034EFE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946463"/>
        <c:axId val="1354323727"/>
      </c:barChart>
      <c:catAx>
        <c:axId val="1457946463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323727"/>
        <c:crosses val="autoZero"/>
        <c:auto val="1"/>
        <c:lblAlgn val="ctr"/>
        <c:lblOffset val="100"/>
        <c:noMultiLvlLbl val="0"/>
      </c:catAx>
      <c:valAx>
        <c:axId val="135432372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45794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539470233412012E-2"/>
          <c:y val="0.16050921314620284"/>
          <c:w val="0.97692105953317598"/>
          <c:h val="0.76805653484061875"/>
        </c:manualLayout>
      </c:layout>
      <c:lineChart>
        <c:grouping val="standard"/>
        <c:varyColors val="0"/>
        <c:ser>
          <c:idx val="0"/>
          <c:order val="0"/>
          <c:tx>
            <c:strRef>
              <c:f>Dados!$AG$3</c:f>
              <c:strCache>
                <c:ptCount val="1"/>
                <c:pt idx="0">
                  <c:v>Administração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Dados!$AH$3:$AT$3</c:f>
              <c:numCache>
                <c:formatCode>0</c:formatCode>
                <c:ptCount val="13"/>
                <c:pt idx="0">
                  <c:v>263.87299999999999</c:v>
                </c:pt>
                <c:pt idx="1">
                  <c:v>275.31299999999999</c:v>
                </c:pt>
                <c:pt idx="2">
                  <c:v>315.66000000000003</c:v>
                </c:pt>
                <c:pt idx="3">
                  <c:v>285.89499999999998</c:v>
                </c:pt>
                <c:pt idx="4">
                  <c:v>302.11799999999999</c:v>
                </c:pt>
                <c:pt idx="5">
                  <c:v>266.851</c:v>
                </c:pt>
                <c:pt idx="6">
                  <c:v>261.91300000000001</c:v>
                </c:pt>
                <c:pt idx="7">
                  <c:v>265.42399999999998</c:v>
                </c:pt>
                <c:pt idx="8">
                  <c:v>284.541</c:v>
                </c:pt>
                <c:pt idx="9">
                  <c:v>298.00299999999999</c:v>
                </c:pt>
                <c:pt idx="10">
                  <c:v>281.46899999999999</c:v>
                </c:pt>
                <c:pt idx="11">
                  <c:v>284.096</c:v>
                </c:pt>
                <c:pt idx="12">
                  <c:v>342.334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1-478C-B6B0-3814CC847EAA}"/>
            </c:ext>
          </c:extLst>
        </c:ser>
        <c:ser>
          <c:idx val="1"/>
          <c:order val="1"/>
          <c:tx>
            <c:strRef>
              <c:f>Dados!$AG$4</c:f>
              <c:strCache>
                <c:ptCount val="1"/>
                <c:pt idx="0">
                  <c:v>Pedagogia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Dados!$AH$4:$AT$4</c:f>
              <c:numCache>
                <c:formatCode>0</c:formatCode>
                <c:ptCount val="13"/>
                <c:pt idx="0">
                  <c:v>195.09100000000001</c:v>
                </c:pt>
                <c:pt idx="1">
                  <c:v>205.56</c:v>
                </c:pt>
                <c:pt idx="2">
                  <c:v>217.63200000000001</c:v>
                </c:pt>
                <c:pt idx="3">
                  <c:v>214.489</c:v>
                </c:pt>
                <c:pt idx="4">
                  <c:v>244.358</c:v>
                </c:pt>
                <c:pt idx="5">
                  <c:v>225.553</c:v>
                </c:pt>
                <c:pt idx="6">
                  <c:v>261.517</c:v>
                </c:pt>
                <c:pt idx="7">
                  <c:v>291.78699999999998</c:v>
                </c:pt>
                <c:pt idx="8">
                  <c:v>345.13400000000001</c:v>
                </c:pt>
                <c:pt idx="9">
                  <c:v>378.07799999999997</c:v>
                </c:pt>
                <c:pt idx="10">
                  <c:v>338.41899999999998</c:v>
                </c:pt>
                <c:pt idx="11">
                  <c:v>284.30599999999998</c:v>
                </c:pt>
                <c:pt idx="12">
                  <c:v>420.43599999999998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1-478C-B6B0-3814CC847EAA}"/>
            </c:ext>
          </c:extLst>
        </c:ser>
        <c:ser>
          <c:idx val="2"/>
          <c:order val="2"/>
          <c:tx>
            <c:strRef>
              <c:f>Dados!$AG$5</c:f>
              <c:strCache>
                <c:ptCount val="1"/>
                <c:pt idx="0">
                  <c:v>Logística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0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Dados!$AH$5:$AT$5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1-478C-B6B0-3814CC847EAA}"/>
            </c:ext>
          </c:extLst>
        </c:ser>
        <c:ser>
          <c:idx val="3"/>
          <c:order val="3"/>
          <c:tx>
            <c:strRef>
              <c:f>Dados!$AG$6</c:f>
              <c:strCache>
                <c:ptCount val="1"/>
                <c:pt idx="0">
                  <c:v>Direito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0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Dados!$AH$6:$AT$6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B1-478C-B6B0-3814CC847EAA}"/>
            </c:ext>
          </c:extLst>
        </c:ser>
        <c:ser>
          <c:idx val="4"/>
          <c:order val="4"/>
          <c:tx>
            <c:strRef>
              <c:f>Dados!$AG$7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0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Dados!$AH$7:$AT$7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B1-478C-B6B0-3814CC847EAA}"/>
            </c:ext>
          </c:extLst>
        </c:ser>
        <c:ser>
          <c:idx val="5"/>
          <c:order val="5"/>
          <c:tx>
            <c:strRef>
              <c:f>Dados!$AG$8</c:f>
              <c:strCache>
                <c:ptCount val="1"/>
                <c:pt idx="0">
                  <c:v>Educação Física Formação para professor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0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Dados!$AH$8:$AT$8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B1-478C-B6B0-3814CC847EAA}"/>
            </c:ext>
          </c:extLst>
        </c:ser>
        <c:ser>
          <c:idx val="6"/>
          <c:order val="6"/>
          <c:tx>
            <c:strRef>
              <c:f>Dados!$AG$9</c:f>
              <c:strCache>
                <c:ptCount val="1"/>
                <c:pt idx="0">
                  <c:v>Educação FíSICA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Dados!$AH$9:$AT$9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B1-478C-B6B0-3814CC847EAA}"/>
            </c:ext>
          </c:extLst>
        </c:ser>
        <c:ser>
          <c:idx val="7"/>
          <c:order val="7"/>
          <c:tx>
            <c:strRef>
              <c:f>Dados!$AG$10</c:f>
              <c:strCache>
                <c:ptCount val="1"/>
                <c:pt idx="0">
                  <c:v>Contabilidade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270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Dados!$AH$10:$AT$10</c:f>
              <c:numCache>
                <c:formatCode>0</c:formatCode>
                <c:ptCount val="13"/>
                <c:pt idx="0">
                  <c:v>90.626999999999995</c:v>
                </c:pt>
                <c:pt idx="1">
                  <c:v>101.565</c:v>
                </c:pt>
                <c:pt idx="2">
                  <c:v>127.682</c:v>
                </c:pt>
                <c:pt idx="3">
                  <c:v>124.348</c:v>
                </c:pt>
                <c:pt idx="4">
                  <c:v>137.26</c:v>
                </c:pt>
                <c:pt idx="5">
                  <c:v>129.333</c:v>
                </c:pt>
                <c:pt idx="6">
                  <c:v>137.52199999999999</c:v>
                </c:pt>
                <c:pt idx="7">
                  <c:v>148.70599999999999</c:v>
                </c:pt>
                <c:pt idx="8">
                  <c:v>155.38499999999999</c:v>
                </c:pt>
                <c:pt idx="9">
                  <c:v>155.25899999999999</c:v>
                </c:pt>
                <c:pt idx="10">
                  <c:v>150.44999999999999</c:v>
                </c:pt>
                <c:pt idx="11">
                  <c:v>143.38200000000001</c:v>
                </c:pt>
                <c:pt idx="12">
                  <c:v>156.773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B1-478C-B6B0-3814CC847EAA}"/>
            </c:ext>
          </c:extLst>
        </c:ser>
        <c:ser>
          <c:idx val="8"/>
          <c:order val="8"/>
          <c:tx>
            <c:strRef>
              <c:f>Dados!$AG$11</c:f>
              <c:strCache>
                <c:ptCount val="1"/>
                <c:pt idx="0">
                  <c:v>Gestão de Pessoas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Dados!$AH$11:$AT$11</c:f>
              <c:numCache>
                <c:formatCode>0</c:formatCode>
                <c:ptCount val="13"/>
                <c:pt idx="0">
                  <c:v>65.653000000000006</c:v>
                </c:pt>
                <c:pt idx="1">
                  <c:v>78.757000000000005</c:v>
                </c:pt>
                <c:pt idx="2">
                  <c:v>102.693</c:v>
                </c:pt>
                <c:pt idx="3">
                  <c:v>100.123</c:v>
                </c:pt>
                <c:pt idx="4">
                  <c:v>113.605</c:v>
                </c:pt>
                <c:pt idx="5">
                  <c:v>93.816000000000003</c:v>
                </c:pt>
                <c:pt idx="6">
                  <c:v>92.744</c:v>
                </c:pt>
                <c:pt idx="7">
                  <c:v>99.834000000000003</c:v>
                </c:pt>
                <c:pt idx="8">
                  <c:v>112.881</c:v>
                </c:pt>
                <c:pt idx="9">
                  <c:v>127.297</c:v>
                </c:pt>
                <c:pt idx="10">
                  <c:v>132.916</c:v>
                </c:pt>
                <c:pt idx="11">
                  <c:v>145.78700000000001</c:v>
                </c:pt>
                <c:pt idx="12">
                  <c:v>159.86099999999999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B1-478C-B6B0-3814CC847EAA}"/>
            </c:ext>
          </c:extLst>
        </c:ser>
        <c:ser>
          <c:idx val="9"/>
          <c:order val="9"/>
          <c:tx>
            <c:strRef>
              <c:f>Dados!$AG$12</c:f>
              <c:strCache>
                <c:ptCount val="1"/>
                <c:pt idx="0">
                  <c:v>Enfermagem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1270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Dados!$AH$12:$AT$12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B1-478C-B6B0-3814CC847EAA}"/>
            </c:ext>
          </c:extLst>
        </c:ser>
        <c:ser>
          <c:idx val="10"/>
          <c:order val="10"/>
          <c:tx>
            <c:strRef>
              <c:f>Dados!$AG$13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1270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Dados!$AH$13:$AT$13</c:f>
              <c:numCache>
                <c:formatCode>0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B1-478C-B6B0-3814CC847EAA}"/>
            </c:ext>
          </c:extLst>
        </c:ser>
        <c:ser>
          <c:idx val="11"/>
          <c:order val="11"/>
          <c:tx>
            <c:strRef>
              <c:f>Dados!$AG$14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1270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Dados!$AH$14:$AT$14</c:f>
              <c:numCache>
                <c:formatCode>0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B1-478C-B6B0-3814CC847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806527"/>
        <c:axId val="1474386191"/>
      </c:lineChart>
      <c:catAx>
        <c:axId val="1840806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386191"/>
        <c:crosses val="autoZero"/>
        <c:auto val="1"/>
        <c:lblAlgn val="ctr"/>
        <c:lblOffset val="100"/>
        <c:noMultiLvlLbl val="0"/>
      </c:catAx>
      <c:valAx>
        <c:axId val="1474386191"/>
        <c:scaling>
          <c:orientation val="minMax"/>
          <c:max val="500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080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2.3935772029949485E-2"/>
          <c:y val="1.4723106989024605E-2"/>
          <c:w val="0.97510261166633083"/>
          <c:h val="0.1266369955415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Dados!$AG$17</c:f>
              <c:strCache>
                <c:ptCount val="1"/>
                <c:pt idx="0">
                  <c:v>Administração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Dados!$AH$17:$AT$17</c:f>
              <c:numCache>
                <c:formatCode>0</c:formatCode>
                <c:ptCount val="13"/>
                <c:pt idx="0">
                  <c:v>543.36599999999999</c:v>
                </c:pt>
                <c:pt idx="1">
                  <c:v>494.70600000000002</c:v>
                </c:pt>
                <c:pt idx="2">
                  <c:v>493.34899999999999</c:v>
                </c:pt>
                <c:pt idx="3">
                  <c:v>672.74400000000003</c:v>
                </c:pt>
                <c:pt idx="4">
                  <c:v>761.01199999999994</c:v>
                </c:pt>
                <c:pt idx="5">
                  <c:v>837.45699999999999</c:v>
                </c:pt>
                <c:pt idx="6">
                  <c:v>944.99300000000005</c:v>
                </c:pt>
                <c:pt idx="7">
                  <c:v>949.53300000000002</c:v>
                </c:pt>
                <c:pt idx="8">
                  <c:v>1045.3109999999999</c:v>
                </c:pt>
                <c:pt idx="9">
                  <c:v>1032.393</c:v>
                </c:pt>
                <c:pt idx="10">
                  <c:v>1094.932</c:v>
                </c:pt>
                <c:pt idx="11">
                  <c:v>1079.0070000000001</c:v>
                </c:pt>
                <c:pt idx="12">
                  <c:v>1069.076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E-4E1B-9004-E1423BF8FFBC}"/>
            </c:ext>
          </c:extLst>
        </c:ser>
        <c:ser>
          <c:idx val="1"/>
          <c:order val="1"/>
          <c:tx>
            <c:strRef>
              <c:f>Dados!$AG$18</c:f>
              <c:strCache>
                <c:ptCount val="1"/>
                <c:pt idx="0">
                  <c:v>Pedagogia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Dados!$AH$18:$AT$18</c:f>
              <c:numCache>
                <c:formatCode>0</c:formatCode>
                <c:ptCount val="13"/>
                <c:pt idx="0">
                  <c:v>462.34100000000001</c:v>
                </c:pt>
                <c:pt idx="1">
                  <c:v>350.03199999999998</c:v>
                </c:pt>
                <c:pt idx="2">
                  <c:v>340.53399999999999</c:v>
                </c:pt>
                <c:pt idx="3">
                  <c:v>408.178</c:v>
                </c:pt>
                <c:pt idx="4">
                  <c:v>518.22900000000004</c:v>
                </c:pt>
                <c:pt idx="5">
                  <c:v>587.86099999999999</c:v>
                </c:pt>
                <c:pt idx="6">
                  <c:v>652.19200000000001</c:v>
                </c:pt>
                <c:pt idx="7">
                  <c:v>702.06</c:v>
                </c:pt>
                <c:pt idx="8">
                  <c:v>863.19600000000003</c:v>
                </c:pt>
                <c:pt idx="9">
                  <c:v>910.46199999999999</c:v>
                </c:pt>
                <c:pt idx="10">
                  <c:v>999.84699999999998</c:v>
                </c:pt>
                <c:pt idx="11">
                  <c:v>983.125</c:v>
                </c:pt>
                <c:pt idx="12">
                  <c:v>1035.7750000000001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E-4E1B-9004-E1423BF8FFBC}"/>
            </c:ext>
          </c:extLst>
        </c:ser>
        <c:ser>
          <c:idx val="2"/>
          <c:order val="2"/>
          <c:tx>
            <c:strRef>
              <c:f>Dados!$AG$19</c:f>
              <c:strCache>
                <c:ptCount val="1"/>
                <c:pt idx="0">
                  <c:v>Logística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0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Dados!$AH$19:$AT$19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E-4E1B-9004-E1423BF8FFBC}"/>
            </c:ext>
          </c:extLst>
        </c:ser>
        <c:ser>
          <c:idx val="3"/>
          <c:order val="3"/>
          <c:tx>
            <c:strRef>
              <c:f>Dados!$AG$20</c:f>
              <c:strCache>
                <c:ptCount val="1"/>
                <c:pt idx="0">
                  <c:v>Direito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0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Dados!$AH$20:$AT$20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8E-4E1B-9004-E1423BF8FFBC}"/>
            </c:ext>
          </c:extLst>
        </c:ser>
        <c:ser>
          <c:idx val="4"/>
          <c:order val="4"/>
          <c:tx>
            <c:strRef>
              <c:f>Dados!$AG$21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0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Dados!$AH$21:$AT$21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8E-4E1B-9004-E1423BF8FFBC}"/>
            </c:ext>
          </c:extLst>
        </c:ser>
        <c:ser>
          <c:idx val="5"/>
          <c:order val="5"/>
          <c:tx>
            <c:strRef>
              <c:f>Dados!$AG$22</c:f>
              <c:strCache>
                <c:ptCount val="1"/>
                <c:pt idx="0">
                  <c:v>Educação Física Formação para professor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0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Dados!$AH$22:$AT$22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8E-4E1B-9004-E1423BF8FFBC}"/>
            </c:ext>
          </c:extLst>
        </c:ser>
        <c:ser>
          <c:idx val="6"/>
          <c:order val="6"/>
          <c:tx>
            <c:strRef>
              <c:f>Dados!$AG$23</c:f>
              <c:strCache>
                <c:ptCount val="1"/>
                <c:pt idx="0">
                  <c:v>Educação FíSICA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Dados!$AH$23:$AT$23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8E-4E1B-9004-E1423BF8FFBC}"/>
            </c:ext>
          </c:extLst>
        </c:ser>
        <c:ser>
          <c:idx val="7"/>
          <c:order val="7"/>
          <c:tx>
            <c:strRef>
              <c:f>Dados!$AG$24</c:f>
              <c:strCache>
                <c:ptCount val="1"/>
                <c:pt idx="0">
                  <c:v>Contabilidade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270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Dados!$AH$24:$AT$24</c:f>
              <c:numCache>
                <c:formatCode>0</c:formatCode>
                <c:ptCount val="13"/>
                <c:pt idx="0">
                  <c:v>215.11600000000001</c:v>
                </c:pt>
                <c:pt idx="1">
                  <c:v>202.322</c:v>
                </c:pt>
                <c:pt idx="2">
                  <c:v>228.447</c:v>
                </c:pt>
                <c:pt idx="3">
                  <c:v>281.34800000000001</c:v>
                </c:pt>
                <c:pt idx="4">
                  <c:v>363.80700000000002</c:v>
                </c:pt>
                <c:pt idx="5">
                  <c:v>399.45</c:v>
                </c:pt>
                <c:pt idx="6">
                  <c:v>459.51100000000002</c:v>
                </c:pt>
                <c:pt idx="7">
                  <c:v>467.18299999999999</c:v>
                </c:pt>
                <c:pt idx="8">
                  <c:v>595.25</c:v>
                </c:pt>
                <c:pt idx="9">
                  <c:v>671.91200000000003</c:v>
                </c:pt>
                <c:pt idx="10">
                  <c:v>693.67100000000005</c:v>
                </c:pt>
                <c:pt idx="11">
                  <c:v>732.75300000000004</c:v>
                </c:pt>
                <c:pt idx="12">
                  <c:v>723.51400000000001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8E-4E1B-9004-E1423BF8FFBC}"/>
            </c:ext>
          </c:extLst>
        </c:ser>
        <c:ser>
          <c:idx val="8"/>
          <c:order val="8"/>
          <c:tx>
            <c:strRef>
              <c:f>Dados!$AG$25</c:f>
              <c:strCache>
                <c:ptCount val="1"/>
                <c:pt idx="0">
                  <c:v>Gestão de Pessoas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Dados!$AH$25:$AT$25</c:f>
              <c:numCache>
                <c:formatCode>0</c:formatCode>
                <c:ptCount val="13"/>
                <c:pt idx="0">
                  <c:v>156.46299999999999</c:v>
                </c:pt>
                <c:pt idx="1">
                  <c:v>141.727</c:v>
                </c:pt>
                <c:pt idx="2">
                  <c:v>156.78700000000001</c:v>
                </c:pt>
                <c:pt idx="3">
                  <c:v>208.077</c:v>
                </c:pt>
                <c:pt idx="4">
                  <c:v>258.048</c:v>
                </c:pt>
                <c:pt idx="5">
                  <c:v>268.48</c:v>
                </c:pt>
                <c:pt idx="6">
                  <c:v>341.97800000000001</c:v>
                </c:pt>
                <c:pt idx="7">
                  <c:v>332.68799999999999</c:v>
                </c:pt>
                <c:pt idx="8">
                  <c:v>415.85700000000003</c:v>
                </c:pt>
                <c:pt idx="9">
                  <c:v>437.08300000000003</c:v>
                </c:pt>
                <c:pt idx="10">
                  <c:v>621.62199999999996</c:v>
                </c:pt>
                <c:pt idx="11">
                  <c:v>696.88800000000003</c:v>
                </c:pt>
                <c:pt idx="12">
                  <c:v>702.322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8E-4E1B-9004-E1423BF8FFBC}"/>
            </c:ext>
          </c:extLst>
        </c:ser>
        <c:ser>
          <c:idx val="9"/>
          <c:order val="9"/>
          <c:tx>
            <c:strRef>
              <c:f>Dados!$AG$26</c:f>
              <c:strCache>
                <c:ptCount val="1"/>
                <c:pt idx="0">
                  <c:v>Enfermagem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1270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Dados!$AH$26:$AT$26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8E-4E1B-9004-E1423BF8FFBC}"/>
            </c:ext>
          </c:extLst>
        </c:ser>
        <c:ser>
          <c:idx val="10"/>
          <c:order val="10"/>
          <c:tx>
            <c:strRef>
              <c:f>Dados!$AG$27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1270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Dados!$AH$27:$AT$27</c:f>
              <c:numCache>
                <c:formatCode>0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8E-4E1B-9004-E1423BF8FFBC}"/>
            </c:ext>
          </c:extLst>
        </c:ser>
        <c:ser>
          <c:idx val="11"/>
          <c:order val="11"/>
          <c:tx>
            <c:strRef>
              <c:f>Dados!$AG$28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1270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Dados!$AH$28:$AT$28</c:f>
              <c:numCache>
                <c:formatCode>0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8E-4E1B-9004-E1423BF8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29471"/>
        <c:axId val="1548102191"/>
      </c:lineChart>
      <c:catAx>
        <c:axId val="1360029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102191"/>
        <c:crosses val="autoZero"/>
        <c:auto val="1"/>
        <c:lblAlgn val="ctr"/>
        <c:lblOffset val="100"/>
        <c:noMultiLvlLbl val="0"/>
      </c:catAx>
      <c:valAx>
        <c:axId val="1548102191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002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3.7682322462377703E-2"/>
          <c:y val="2.377414008033121E-3"/>
          <c:w val="0.93548658722845945"/>
          <c:h val="0.1578324637131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CheckBox" fmlaLink="Dados!$R$7" lockText="1"/>
</file>

<file path=xl/ctrlProps/ctrlProp11.xml><?xml version="1.0" encoding="utf-8"?>
<formControlPr xmlns="http://schemas.microsoft.com/office/spreadsheetml/2009/9/main" objectType="CheckBox" fmlaLink="Dados!$R$6" lockText="1"/>
</file>

<file path=xl/ctrlProps/ctrlProp12.xml><?xml version="1.0" encoding="utf-8"?>
<formControlPr xmlns="http://schemas.microsoft.com/office/spreadsheetml/2009/9/main" objectType="CheckBox" fmlaLink="Dados!$R$8" lockText="1"/>
</file>

<file path=xl/ctrlProps/ctrlProp13.xml><?xml version="1.0" encoding="utf-8"?>
<formControlPr xmlns="http://schemas.microsoft.com/office/spreadsheetml/2009/9/main" objectType="CheckBox" fmlaLink="Dados!$R$9" lockText="1"/>
</file>

<file path=xl/ctrlProps/ctrlProp14.xml><?xml version="1.0" encoding="utf-8"?>
<formControlPr xmlns="http://schemas.microsoft.com/office/spreadsheetml/2009/9/main" objectType="CheckBox" checked="Checked" fmlaLink="Dados!$R$10" lockText="1"/>
</file>

<file path=xl/ctrlProps/ctrlProp15.xml><?xml version="1.0" encoding="utf-8"?>
<formControlPr xmlns="http://schemas.microsoft.com/office/spreadsheetml/2009/9/main" objectType="CheckBox" checked="Checked" fmlaLink="Dados!$R$11" lockText="1"/>
</file>

<file path=xl/ctrlProps/ctrlProp16.xml><?xml version="1.0" encoding="utf-8"?>
<formControlPr xmlns="http://schemas.microsoft.com/office/spreadsheetml/2009/9/main" objectType="CheckBox" fmlaLink="Dados!$R$12" lockText="1"/>
</file>

<file path=xl/ctrlProps/ctrlProp17.xml><?xml version="1.0" encoding="utf-8"?>
<formControlPr xmlns="http://schemas.microsoft.com/office/spreadsheetml/2009/9/main" objectType="CheckBox" checked="Checked" fmlaLink="Dados!$R$17" lockText="1"/>
</file>

<file path=xl/ctrlProps/ctrlProp18.xml><?xml version="1.0" encoding="utf-8"?>
<formControlPr xmlns="http://schemas.microsoft.com/office/spreadsheetml/2009/9/main" objectType="CheckBox" checked="Checked" fmlaLink="Dados!$R$18" lockText="1"/>
</file>

<file path=xl/ctrlProps/ctrlProp19.xml><?xml version="1.0" encoding="utf-8"?>
<formControlPr xmlns="http://schemas.microsoft.com/office/spreadsheetml/2009/9/main" objectType="CheckBox" fmlaLink="Dados!$R$19" lockText="1"/>
</file>

<file path=xl/ctrlProps/ctrlProp2.xml><?xml version="1.0" encoding="utf-8"?>
<formControlPr xmlns="http://schemas.microsoft.com/office/spreadsheetml/2009/9/main" objectType="Radio" checked="Checked" firstButton="1" fmlaLink="Dados!$N$2" lockText="1"/>
</file>

<file path=xl/ctrlProps/ctrlProp20.xml><?xml version="1.0" encoding="utf-8"?>
<formControlPr xmlns="http://schemas.microsoft.com/office/spreadsheetml/2009/9/main" objectType="CheckBox" fmlaLink="Dados!$R$21" lockText="1"/>
</file>

<file path=xl/ctrlProps/ctrlProp21.xml><?xml version="1.0" encoding="utf-8"?>
<formControlPr xmlns="http://schemas.microsoft.com/office/spreadsheetml/2009/9/main" objectType="CheckBox" fmlaLink="Dados!$R$20" lockText="1"/>
</file>

<file path=xl/ctrlProps/ctrlProp22.xml><?xml version="1.0" encoding="utf-8"?>
<formControlPr xmlns="http://schemas.microsoft.com/office/spreadsheetml/2009/9/main" objectType="CheckBox" fmlaLink="Dados!$R$22" lockText="1"/>
</file>

<file path=xl/ctrlProps/ctrlProp23.xml><?xml version="1.0" encoding="utf-8"?>
<formControlPr xmlns="http://schemas.microsoft.com/office/spreadsheetml/2009/9/main" objectType="CheckBox" fmlaLink="Dados!$R$23" lockText="1"/>
</file>

<file path=xl/ctrlProps/ctrlProp24.xml><?xml version="1.0" encoding="utf-8"?>
<formControlPr xmlns="http://schemas.microsoft.com/office/spreadsheetml/2009/9/main" objectType="CheckBox" checked="Checked" fmlaLink="Dados!$R$24" lockText="1"/>
</file>

<file path=xl/ctrlProps/ctrlProp25.xml><?xml version="1.0" encoding="utf-8"?>
<formControlPr xmlns="http://schemas.microsoft.com/office/spreadsheetml/2009/9/main" objectType="CheckBox" checked="Checked" fmlaLink="Dados!$R$25" lockText="1"/>
</file>

<file path=xl/ctrlProps/ctrlProp26.xml><?xml version="1.0" encoding="utf-8"?>
<formControlPr xmlns="http://schemas.microsoft.com/office/spreadsheetml/2009/9/main" objectType="CheckBox" fmlaLink="Dados!$R$26" lockText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fmlaLink="Dados!$R$3" lockText="1"/>
</file>

<file path=xl/ctrlProps/ctrlProp8.xml><?xml version="1.0" encoding="utf-8"?>
<formControlPr xmlns="http://schemas.microsoft.com/office/spreadsheetml/2009/9/main" objectType="CheckBox" checked="Checked" fmlaLink="Dados!$R$4" lockText="1"/>
</file>

<file path=xl/ctrlProps/ctrlProp9.xml><?xml version="1.0" encoding="utf-8"?>
<formControlPr xmlns="http://schemas.microsoft.com/office/spreadsheetml/2009/9/main" objectType="CheckBox" fmlaLink="Dados!$R$5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19050</xdr:rowOff>
    </xdr:from>
    <xdr:to>
      <xdr:col>2</xdr:col>
      <xdr:colOff>172800</xdr:colOff>
      <xdr:row>4</xdr:row>
      <xdr:rowOff>173850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71475" y="895350"/>
          <a:ext cx="163275" cy="15480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+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21946</xdr:colOff>
          <xdr:row>5</xdr:row>
          <xdr:rowOff>73152</xdr:rowOff>
        </xdr:from>
        <xdr:to>
          <xdr:col>70</xdr:col>
          <xdr:colOff>29261</xdr:colOff>
          <xdr:row>28</xdr:row>
          <xdr:rowOff>146304</xdr:rowOff>
        </xdr:to>
        <xdr:sp macro="" textlink="">
          <xdr:nvSpPr>
            <xdr:cNvPr id="1025" name="Group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Ordenação dos cursos baseados em concluintes, inscritos e vagas ofertadas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124358</xdr:colOff>
          <xdr:row>5</xdr:row>
          <xdr:rowOff>146304</xdr:rowOff>
        </xdr:from>
        <xdr:to>
          <xdr:col>16</xdr:col>
          <xdr:colOff>87782</xdr:colOff>
          <xdr:row>7</xdr:row>
          <xdr:rowOff>29261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Ord quantidade de vagas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65837</xdr:colOff>
          <xdr:row>5</xdr:row>
          <xdr:rowOff>182880</xdr:rowOff>
        </xdr:from>
        <xdr:to>
          <xdr:col>40</xdr:col>
          <xdr:colOff>153619</xdr:colOff>
          <xdr:row>7</xdr:row>
          <xdr:rowOff>65837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Ord quantidade de concluintes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21946</xdr:colOff>
          <xdr:row>5</xdr:row>
          <xdr:rowOff>146304</xdr:rowOff>
        </xdr:from>
        <xdr:to>
          <xdr:col>61</xdr:col>
          <xdr:colOff>102413</xdr:colOff>
          <xdr:row>7</xdr:row>
          <xdr:rowOff>29261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Ord quantidade de ingressantes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29261</xdr:colOff>
          <xdr:row>29</xdr:row>
          <xdr:rowOff>51206</xdr:rowOff>
        </xdr:from>
        <xdr:to>
          <xdr:col>70</xdr:col>
          <xdr:colOff>36576</xdr:colOff>
          <xdr:row>53</xdr:row>
          <xdr:rowOff>36576</xdr:rowOff>
        </xdr:to>
        <xdr:sp macro="" textlink="">
          <xdr:nvSpPr>
            <xdr:cNvPr id="1029" name="Group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Evoluação do curso por ano Ingressantes por mil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7315</xdr:colOff>
          <xdr:row>53</xdr:row>
          <xdr:rowOff>95098</xdr:rowOff>
        </xdr:from>
        <xdr:to>
          <xdr:col>70</xdr:col>
          <xdr:colOff>21946</xdr:colOff>
          <xdr:row>77</xdr:row>
          <xdr:rowOff>87782</xdr:rowOff>
        </xdr:to>
        <xdr:sp macro="" textlink="">
          <xdr:nvSpPr>
            <xdr:cNvPr id="1030" name="Group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Evoluação do curso por ano - Vagas por mil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29261</xdr:colOff>
          <xdr:row>30</xdr:row>
          <xdr:rowOff>29261</xdr:rowOff>
        </xdr:from>
        <xdr:to>
          <xdr:col>12</xdr:col>
          <xdr:colOff>168250</xdr:colOff>
          <xdr:row>31</xdr:row>
          <xdr:rowOff>87782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Administração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7315</xdr:colOff>
          <xdr:row>30</xdr:row>
          <xdr:rowOff>51206</xdr:rowOff>
        </xdr:from>
        <xdr:to>
          <xdr:col>17</xdr:col>
          <xdr:colOff>153619</xdr:colOff>
          <xdr:row>31</xdr:row>
          <xdr:rowOff>58522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Pedagogia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168250</xdr:colOff>
          <xdr:row>30</xdr:row>
          <xdr:rowOff>51206</xdr:rowOff>
        </xdr:from>
        <xdr:to>
          <xdr:col>22</xdr:col>
          <xdr:colOff>95098</xdr:colOff>
          <xdr:row>31</xdr:row>
          <xdr:rowOff>65837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Logística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7315</xdr:colOff>
          <xdr:row>30</xdr:row>
          <xdr:rowOff>29261</xdr:rowOff>
        </xdr:from>
        <xdr:to>
          <xdr:col>31</xdr:col>
          <xdr:colOff>146304</xdr:colOff>
          <xdr:row>31</xdr:row>
          <xdr:rowOff>73152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Marketing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117043</xdr:colOff>
          <xdr:row>30</xdr:row>
          <xdr:rowOff>36576</xdr:rowOff>
        </xdr:from>
        <xdr:to>
          <xdr:col>26</xdr:col>
          <xdr:colOff>182880</xdr:colOff>
          <xdr:row>31</xdr:row>
          <xdr:rowOff>73152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Direito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160934</xdr:colOff>
          <xdr:row>30</xdr:row>
          <xdr:rowOff>73152</xdr:rowOff>
        </xdr:from>
        <xdr:to>
          <xdr:col>41</xdr:col>
          <xdr:colOff>131674</xdr:colOff>
          <xdr:row>31</xdr:row>
          <xdr:rowOff>36576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Educaão física para professor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146304</xdr:colOff>
          <xdr:row>30</xdr:row>
          <xdr:rowOff>51206</xdr:rowOff>
        </xdr:from>
        <xdr:to>
          <xdr:col>47</xdr:col>
          <xdr:colOff>153619</xdr:colOff>
          <xdr:row>31</xdr:row>
          <xdr:rowOff>58522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Educação Física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168250</xdr:colOff>
          <xdr:row>30</xdr:row>
          <xdr:rowOff>36576</xdr:rowOff>
        </xdr:from>
        <xdr:to>
          <xdr:col>53</xdr:col>
          <xdr:colOff>117043</xdr:colOff>
          <xdr:row>31</xdr:row>
          <xdr:rowOff>65837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Contabilidade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124358</xdr:colOff>
          <xdr:row>30</xdr:row>
          <xdr:rowOff>36576</xdr:rowOff>
        </xdr:from>
        <xdr:to>
          <xdr:col>60</xdr:col>
          <xdr:colOff>95098</xdr:colOff>
          <xdr:row>31</xdr:row>
          <xdr:rowOff>65837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Gestão de Pessoas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61</xdr:col>
          <xdr:colOff>117043</xdr:colOff>
          <xdr:row>30</xdr:row>
          <xdr:rowOff>29261</xdr:rowOff>
        </xdr:from>
        <xdr:to>
          <xdr:col>66</xdr:col>
          <xdr:colOff>0</xdr:colOff>
          <xdr:row>31</xdr:row>
          <xdr:rowOff>73152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Enfermagem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</xdr:colOff>
          <xdr:row>54</xdr:row>
          <xdr:rowOff>160934</xdr:rowOff>
        </xdr:from>
        <xdr:to>
          <xdr:col>12</xdr:col>
          <xdr:colOff>0</xdr:colOff>
          <xdr:row>56</xdr:row>
          <xdr:rowOff>29261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Administração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7315</xdr:colOff>
          <xdr:row>54</xdr:row>
          <xdr:rowOff>182880</xdr:rowOff>
        </xdr:from>
        <xdr:to>
          <xdr:col>16</xdr:col>
          <xdr:colOff>160934</xdr:colOff>
          <xdr:row>56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Pedagogia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182880</xdr:colOff>
          <xdr:row>54</xdr:row>
          <xdr:rowOff>182880</xdr:rowOff>
        </xdr:from>
        <xdr:to>
          <xdr:col>21</xdr:col>
          <xdr:colOff>102413</xdr:colOff>
          <xdr:row>56</xdr:row>
          <xdr:rowOff>7315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Logística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21946</xdr:colOff>
          <xdr:row>54</xdr:row>
          <xdr:rowOff>160934</xdr:rowOff>
        </xdr:from>
        <xdr:to>
          <xdr:col>30</xdr:col>
          <xdr:colOff>153619</xdr:colOff>
          <xdr:row>56</xdr:row>
          <xdr:rowOff>21946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Marketing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117043</xdr:colOff>
          <xdr:row>54</xdr:row>
          <xdr:rowOff>168250</xdr:rowOff>
        </xdr:from>
        <xdr:to>
          <xdr:col>26</xdr:col>
          <xdr:colOff>0</xdr:colOff>
          <xdr:row>56</xdr:row>
          <xdr:rowOff>21946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Direito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160934</xdr:colOff>
          <xdr:row>55</xdr:row>
          <xdr:rowOff>21946</xdr:rowOff>
        </xdr:from>
        <xdr:to>
          <xdr:col>40</xdr:col>
          <xdr:colOff>131674</xdr:colOff>
          <xdr:row>55</xdr:row>
          <xdr:rowOff>168250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Educaão física para professor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153619</xdr:colOff>
          <xdr:row>54</xdr:row>
          <xdr:rowOff>182880</xdr:rowOff>
        </xdr:from>
        <xdr:to>
          <xdr:col>46</xdr:col>
          <xdr:colOff>153619</xdr:colOff>
          <xdr:row>56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Educação Física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168250</xdr:colOff>
          <xdr:row>54</xdr:row>
          <xdr:rowOff>168250</xdr:rowOff>
        </xdr:from>
        <xdr:to>
          <xdr:col>52</xdr:col>
          <xdr:colOff>117043</xdr:colOff>
          <xdr:row>56</xdr:row>
          <xdr:rowOff>7315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Contabilidade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53</xdr:col>
          <xdr:colOff>131674</xdr:colOff>
          <xdr:row>54</xdr:row>
          <xdr:rowOff>168250</xdr:rowOff>
        </xdr:from>
        <xdr:to>
          <xdr:col>59</xdr:col>
          <xdr:colOff>102413</xdr:colOff>
          <xdr:row>56</xdr:row>
          <xdr:rowOff>7315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Gestão de Pessoas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60</xdr:col>
          <xdr:colOff>117043</xdr:colOff>
          <xdr:row>54</xdr:row>
          <xdr:rowOff>160934</xdr:rowOff>
        </xdr:from>
        <xdr:to>
          <xdr:col>65</xdr:col>
          <xdr:colOff>0</xdr:colOff>
          <xdr:row>56</xdr:row>
          <xdr:rowOff>21946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Enfermagem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152400</xdr:colOff>
      <xdr:row>7</xdr:row>
      <xdr:rowOff>66675</xdr:rowOff>
    </xdr:from>
    <xdr:to>
      <xdr:col>68</xdr:col>
      <xdr:colOff>161925</xdr:colOff>
      <xdr:row>27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57151</xdr:colOff>
      <xdr:row>31</xdr:row>
      <xdr:rowOff>44823</xdr:rowOff>
    </xdr:from>
    <xdr:to>
      <xdr:col>70</xdr:col>
      <xdr:colOff>56030</xdr:colOff>
      <xdr:row>52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138391</xdr:colOff>
      <xdr:row>56</xdr:row>
      <xdr:rowOff>15687</xdr:rowOff>
    </xdr:from>
    <xdr:to>
      <xdr:col>71</xdr:col>
      <xdr:colOff>145676</xdr:colOff>
      <xdr:row>76</xdr:row>
      <xdr:rowOff>158562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EAD3-C438-431A-B9EE-47F032F0C010}">
  <sheetPr codeName="Planilha1"/>
  <dimension ref="B2:BS44"/>
  <sheetViews>
    <sheetView tabSelected="1" topLeftCell="A43" zoomScale="70" zoomScaleNormal="70" workbookViewId="0">
      <selection activeCell="BU58" sqref="BU58"/>
    </sheetView>
  </sheetViews>
  <sheetFormatPr defaultRowHeight="14.4" x14ac:dyDescent="0.3"/>
  <cols>
    <col min="1" max="71" width="2.69921875" customWidth="1"/>
  </cols>
  <sheetData>
    <row r="2" spans="2:71" ht="24.05" customHeight="1" x14ac:dyDescent="0.3">
      <c r="B2" s="12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3"/>
      <c r="BD2" s="13"/>
      <c r="BE2" s="13"/>
      <c r="BF2" s="13"/>
      <c r="BG2" s="13"/>
      <c r="BH2" s="13"/>
      <c r="BI2" s="13"/>
      <c r="BJ2" s="2" t="s">
        <v>0</v>
      </c>
      <c r="BK2" s="2"/>
      <c r="BL2" s="2"/>
      <c r="BM2" s="2"/>
      <c r="BN2" s="2"/>
      <c r="BO2" s="14">
        <f ca="1">TODAY()</f>
        <v>45544</v>
      </c>
      <c r="BP2" s="14"/>
      <c r="BQ2" s="14"/>
      <c r="BR2" s="14"/>
      <c r="BS2" s="14"/>
    </row>
    <row r="3" spans="2:7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</row>
    <row r="5" spans="2:71" ht="22.5" customHeight="1" thickBot="1" x14ac:dyDescent="0.5">
      <c r="D5" s="6" t="s">
        <v>20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</row>
    <row r="33" spans="6:6" x14ac:dyDescent="0.3">
      <c r="F33" s="10"/>
    </row>
    <row r="34" spans="6:6" x14ac:dyDescent="0.3">
      <c r="F34" s="10"/>
    </row>
    <row r="35" spans="6:6" x14ac:dyDescent="0.3">
      <c r="F35" s="10"/>
    </row>
    <row r="36" spans="6:6" x14ac:dyDescent="0.3">
      <c r="F36" s="10"/>
    </row>
    <row r="37" spans="6:6" x14ac:dyDescent="0.3">
      <c r="F37" s="10"/>
    </row>
    <row r="38" spans="6:6" x14ac:dyDescent="0.3">
      <c r="F38" s="10"/>
    </row>
    <row r="39" spans="6:6" x14ac:dyDescent="0.3">
      <c r="F39" s="10"/>
    </row>
    <row r="40" spans="6:6" x14ac:dyDescent="0.3">
      <c r="F40" s="10"/>
    </row>
    <row r="41" spans="6:6" x14ac:dyDescent="0.3">
      <c r="F41" s="10"/>
    </row>
    <row r="42" spans="6:6" x14ac:dyDescent="0.3">
      <c r="F42" s="10"/>
    </row>
    <row r="43" spans="6:6" x14ac:dyDescent="0.3">
      <c r="F43" s="10"/>
    </row>
    <row r="44" spans="6:6" x14ac:dyDescent="0.3">
      <c r="F44" s="10"/>
    </row>
  </sheetData>
  <mergeCells count="3">
    <mergeCell ref="B2:BB2"/>
    <mergeCell ref="BC2:BI2"/>
    <mergeCell ref="BO2:BS2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Group Box 1">
              <controlPr defaultSize="0" autoFill="0" autoPict="0">
                <anchor moveWithCells="1">
                  <from>
                    <xdr:col>3</xdr:col>
                    <xdr:colOff>21946</xdr:colOff>
                    <xdr:row>5</xdr:row>
                    <xdr:rowOff>73152</xdr:rowOff>
                  </from>
                  <to>
                    <xdr:col>70</xdr:col>
                    <xdr:colOff>29261</xdr:colOff>
                    <xdr:row>28</xdr:row>
                    <xdr:rowOff>146304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8</xdr:col>
                    <xdr:colOff>124358</xdr:colOff>
                    <xdr:row>5</xdr:row>
                    <xdr:rowOff>146304</xdr:rowOff>
                  </from>
                  <to>
                    <xdr:col>16</xdr:col>
                    <xdr:colOff>87782</xdr:colOff>
                    <xdr:row>7</xdr:row>
                    <xdr:rowOff>29261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30</xdr:col>
                    <xdr:colOff>65837</xdr:colOff>
                    <xdr:row>5</xdr:row>
                    <xdr:rowOff>182880</xdr:rowOff>
                  </from>
                  <to>
                    <xdr:col>40</xdr:col>
                    <xdr:colOff>153619</xdr:colOff>
                    <xdr:row>7</xdr:row>
                    <xdr:rowOff>65837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52</xdr:col>
                    <xdr:colOff>21946</xdr:colOff>
                    <xdr:row>5</xdr:row>
                    <xdr:rowOff>146304</xdr:rowOff>
                  </from>
                  <to>
                    <xdr:col>61</xdr:col>
                    <xdr:colOff>102413</xdr:colOff>
                    <xdr:row>7</xdr:row>
                    <xdr:rowOff>29261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Group Box 5">
              <controlPr defaultSize="0" autoFill="0" autoPict="0">
                <anchor moveWithCells="1">
                  <from>
                    <xdr:col>3</xdr:col>
                    <xdr:colOff>29261</xdr:colOff>
                    <xdr:row>29</xdr:row>
                    <xdr:rowOff>51206</xdr:rowOff>
                  </from>
                  <to>
                    <xdr:col>70</xdr:col>
                    <xdr:colOff>36576</xdr:colOff>
                    <xdr:row>53</xdr:row>
                    <xdr:rowOff>36576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Group Box 6">
              <controlPr defaultSize="0" autoFill="0" autoPict="0">
                <anchor moveWithCells="1">
                  <from>
                    <xdr:col>3</xdr:col>
                    <xdr:colOff>7315</xdr:colOff>
                    <xdr:row>53</xdr:row>
                    <xdr:rowOff>95098</xdr:rowOff>
                  </from>
                  <to>
                    <xdr:col>70</xdr:col>
                    <xdr:colOff>21946</xdr:colOff>
                    <xdr:row>77</xdr:row>
                    <xdr:rowOff>87782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8</xdr:col>
                    <xdr:colOff>29261</xdr:colOff>
                    <xdr:row>30</xdr:row>
                    <xdr:rowOff>29261</xdr:rowOff>
                  </from>
                  <to>
                    <xdr:col>12</xdr:col>
                    <xdr:colOff>168250</xdr:colOff>
                    <xdr:row>31</xdr:row>
                    <xdr:rowOff>87782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Check Box 17">
              <controlPr defaultSize="0" autoFill="0" autoLine="0" autoPict="0">
                <anchor moveWithCells="1">
                  <from>
                    <xdr:col>14</xdr:col>
                    <xdr:colOff>7315</xdr:colOff>
                    <xdr:row>30</xdr:row>
                    <xdr:rowOff>51206</xdr:rowOff>
                  </from>
                  <to>
                    <xdr:col>17</xdr:col>
                    <xdr:colOff>153619</xdr:colOff>
                    <xdr:row>31</xdr:row>
                    <xdr:rowOff>58522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Check Box 18">
              <controlPr defaultSize="0" autoFill="0" autoLine="0" autoPict="0">
                <anchor moveWithCells="1">
                  <from>
                    <xdr:col>18</xdr:col>
                    <xdr:colOff>168250</xdr:colOff>
                    <xdr:row>30</xdr:row>
                    <xdr:rowOff>51206</xdr:rowOff>
                  </from>
                  <to>
                    <xdr:col>22</xdr:col>
                    <xdr:colOff>95098</xdr:colOff>
                    <xdr:row>31</xdr:row>
                    <xdr:rowOff>65837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Check Box 19">
              <controlPr defaultSize="0" autoFill="0" autoLine="0" autoPict="0">
                <anchor moveWithCells="1">
                  <from>
                    <xdr:col>28</xdr:col>
                    <xdr:colOff>7315</xdr:colOff>
                    <xdr:row>30</xdr:row>
                    <xdr:rowOff>29261</xdr:rowOff>
                  </from>
                  <to>
                    <xdr:col>31</xdr:col>
                    <xdr:colOff>146304</xdr:colOff>
                    <xdr:row>31</xdr:row>
                    <xdr:rowOff>73152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Check Box 20">
              <controlPr defaultSize="0" autoFill="0" autoLine="0" autoPict="0">
                <anchor moveWithCells="1">
                  <from>
                    <xdr:col>23</xdr:col>
                    <xdr:colOff>117043</xdr:colOff>
                    <xdr:row>30</xdr:row>
                    <xdr:rowOff>36576</xdr:rowOff>
                  </from>
                  <to>
                    <xdr:col>26</xdr:col>
                    <xdr:colOff>182880</xdr:colOff>
                    <xdr:row>31</xdr:row>
                    <xdr:rowOff>73152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4" name="Check Box 21">
              <controlPr defaultSize="0" autoFill="0" autoLine="0" autoPict="0">
                <anchor moveWithCells="1">
                  <from>
                    <xdr:col>32</xdr:col>
                    <xdr:colOff>160934</xdr:colOff>
                    <xdr:row>30</xdr:row>
                    <xdr:rowOff>73152</xdr:rowOff>
                  </from>
                  <to>
                    <xdr:col>41</xdr:col>
                    <xdr:colOff>131674</xdr:colOff>
                    <xdr:row>31</xdr:row>
                    <xdr:rowOff>36576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5" name="Check Box 22">
              <controlPr defaultSize="0" autoFill="0" autoLine="0" autoPict="0">
                <anchor moveWithCells="1">
                  <from>
                    <xdr:col>42</xdr:col>
                    <xdr:colOff>146304</xdr:colOff>
                    <xdr:row>30</xdr:row>
                    <xdr:rowOff>51206</xdr:rowOff>
                  </from>
                  <to>
                    <xdr:col>47</xdr:col>
                    <xdr:colOff>153619</xdr:colOff>
                    <xdr:row>31</xdr:row>
                    <xdr:rowOff>58522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48</xdr:col>
                    <xdr:colOff>168250</xdr:colOff>
                    <xdr:row>30</xdr:row>
                    <xdr:rowOff>36576</xdr:rowOff>
                  </from>
                  <to>
                    <xdr:col>53</xdr:col>
                    <xdr:colOff>117043</xdr:colOff>
                    <xdr:row>31</xdr:row>
                    <xdr:rowOff>65837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7" name="Check Box 25">
              <controlPr defaultSize="0" autoFill="0" autoLine="0" autoPict="0">
                <anchor moveWithCells="1">
                  <from>
                    <xdr:col>54</xdr:col>
                    <xdr:colOff>124358</xdr:colOff>
                    <xdr:row>30</xdr:row>
                    <xdr:rowOff>36576</xdr:rowOff>
                  </from>
                  <to>
                    <xdr:col>60</xdr:col>
                    <xdr:colOff>95098</xdr:colOff>
                    <xdr:row>31</xdr:row>
                    <xdr:rowOff>65837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8" name="Check Box 26">
              <controlPr defaultSize="0" autoFill="0" autoLine="0" autoPict="0">
                <anchor moveWithCells="1">
                  <from>
                    <xdr:col>61</xdr:col>
                    <xdr:colOff>117043</xdr:colOff>
                    <xdr:row>30</xdr:row>
                    <xdr:rowOff>29261</xdr:rowOff>
                  </from>
                  <to>
                    <xdr:col>66</xdr:col>
                    <xdr:colOff>0</xdr:colOff>
                    <xdr:row>31</xdr:row>
                    <xdr:rowOff>73152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9" name="Check Box 29">
              <controlPr defaultSize="0" autoFill="0" autoLine="0" autoPict="0">
                <anchor moveWithCells="1">
                  <from>
                    <xdr:col>7</xdr:col>
                    <xdr:colOff>36576</xdr:colOff>
                    <xdr:row>54</xdr:row>
                    <xdr:rowOff>160934</xdr:rowOff>
                  </from>
                  <to>
                    <xdr:col>12</xdr:col>
                    <xdr:colOff>0</xdr:colOff>
                    <xdr:row>56</xdr:row>
                    <xdr:rowOff>29261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0" name="Check Box 30">
              <controlPr defaultSize="0" autoFill="0" autoLine="0" autoPict="0">
                <anchor moveWithCells="1">
                  <from>
                    <xdr:col>13</xdr:col>
                    <xdr:colOff>7315</xdr:colOff>
                    <xdr:row>54</xdr:row>
                    <xdr:rowOff>182880</xdr:rowOff>
                  </from>
                  <to>
                    <xdr:col>16</xdr:col>
                    <xdr:colOff>160934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1" name="Check Box 31">
              <controlPr defaultSize="0" autoFill="0" autoLine="0" autoPict="0">
                <anchor moveWithCells="1">
                  <from>
                    <xdr:col>17</xdr:col>
                    <xdr:colOff>182880</xdr:colOff>
                    <xdr:row>54</xdr:row>
                    <xdr:rowOff>182880</xdr:rowOff>
                  </from>
                  <to>
                    <xdr:col>21</xdr:col>
                    <xdr:colOff>102413</xdr:colOff>
                    <xdr:row>56</xdr:row>
                    <xdr:rowOff>7315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2" name="Check Box 32">
              <controlPr defaultSize="0" autoFill="0" autoLine="0" autoPict="0">
                <anchor moveWithCells="1">
                  <from>
                    <xdr:col>27</xdr:col>
                    <xdr:colOff>21946</xdr:colOff>
                    <xdr:row>54</xdr:row>
                    <xdr:rowOff>160934</xdr:rowOff>
                  </from>
                  <to>
                    <xdr:col>30</xdr:col>
                    <xdr:colOff>153619</xdr:colOff>
                    <xdr:row>56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3" name="Check Box 33">
              <controlPr defaultSize="0" autoFill="0" autoLine="0" autoPict="0">
                <anchor moveWithCells="1">
                  <from>
                    <xdr:col>22</xdr:col>
                    <xdr:colOff>117043</xdr:colOff>
                    <xdr:row>54</xdr:row>
                    <xdr:rowOff>168250</xdr:rowOff>
                  </from>
                  <to>
                    <xdr:col>26</xdr:col>
                    <xdr:colOff>0</xdr:colOff>
                    <xdr:row>56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4" name="Check Box 34">
              <controlPr defaultSize="0" autoFill="0" autoLine="0" autoPict="0">
                <anchor moveWithCells="1">
                  <from>
                    <xdr:col>31</xdr:col>
                    <xdr:colOff>160934</xdr:colOff>
                    <xdr:row>55</xdr:row>
                    <xdr:rowOff>21946</xdr:rowOff>
                  </from>
                  <to>
                    <xdr:col>40</xdr:col>
                    <xdr:colOff>131674</xdr:colOff>
                    <xdr:row>55</xdr:row>
                    <xdr:rowOff>168250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5" name="Check Box 35">
              <controlPr defaultSize="0" autoFill="0" autoLine="0" autoPict="0">
                <anchor moveWithCells="1">
                  <from>
                    <xdr:col>41</xdr:col>
                    <xdr:colOff>153619</xdr:colOff>
                    <xdr:row>54</xdr:row>
                    <xdr:rowOff>182880</xdr:rowOff>
                  </from>
                  <to>
                    <xdr:col>46</xdr:col>
                    <xdr:colOff>153619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6" name="Check Box 36">
              <controlPr defaultSize="0" autoFill="0" autoLine="0" autoPict="0">
                <anchor moveWithCells="1">
                  <from>
                    <xdr:col>47</xdr:col>
                    <xdr:colOff>168250</xdr:colOff>
                    <xdr:row>54</xdr:row>
                    <xdr:rowOff>168250</xdr:rowOff>
                  </from>
                  <to>
                    <xdr:col>52</xdr:col>
                    <xdr:colOff>117043</xdr:colOff>
                    <xdr:row>56</xdr:row>
                    <xdr:rowOff>7315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7" name="Check Box 37">
              <controlPr defaultSize="0" autoFill="0" autoLine="0" autoPict="0">
                <anchor moveWithCells="1">
                  <from>
                    <xdr:col>53</xdr:col>
                    <xdr:colOff>131674</xdr:colOff>
                    <xdr:row>54</xdr:row>
                    <xdr:rowOff>168250</xdr:rowOff>
                  </from>
                  <to>
                    <xdr:col>59</xdr:col>
                    <xdr:colOff>102413</xdr:colOff>
                    <xdr:row>56</xdr:row>
                    <xdr:rowOff>7315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8" name="Check Box 38">
              <controlPr defaultSize="0" autoFill="0" autoLine="0" autoPict="0">
                <anchor moveWithCells="1">
                  <from>
                    <xdr:col>60</xdr:col>
                    <xdr:colOff>117043</xdr:colOff>
                    <xdr:row>54</xdr:row>
                    <xdr:rowOff>160934</xdr:rowOff>
                  </from>
                  <to>
                    <xdr:col>65</xdr:col>
                    <xdr:colOff>0</xdr:colOff>
                    <xdr:row>56</xdr:row>
                    <xdr:rowOff>21946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9341-6BA2-4E18-B8E6-4B42C975061D}">
  <dimension ref="A1:AT342"/>
  <sheetViews>
    <sheetView topLeftCell="AD1" workbookViewId="0">
      <selection activeCell="S18" sqref="S18:AE18"/>
    </sheetView>
  </sheetViews>
  <sheetFormatPr defaultRowHeight="14.4" x14ac:dyDescent="0.3"/>
  <cols>
    <col min="2" max="2" width="35.09765625" customWidth="1"/>
    <col min="3" max="4" width="12.69921875" bestFit="1" customWidth="1"/>
    <col min="5" max="5" width="13.8984375" bestFit="1" customWidth="1"/>
    <col min="6" max="6" width="10.59765625" bestFit="1" customWidth="1"/>
    <col min="7" max="7" width="10.69921875" customWidth="1"/>
    <col min="8" max="8" width="9.3984375" customWidth="1"/>
    <col min="9" max="9" width="34.296875" customWidth="1"/>
    <col min="10" max="10" width="11.69921875" bestFit="1" customWidth="1"/>
    <col min="11" max="11" width="11.3984375" customWidth="1"/>
    <col min="12" max="12" width="12.69921875" bestFit="1" customWidth="1"/>
    <col min="17" max="17" width="37.296875" bestFit="1" customWidth="1"/>
    <col min="18" max="18" width="12.8984375" customWidth="1"/>
    <col min="22" max="22" width="10.09765625" customWidth="1"/>
    <col min="32" max="32" width="12.296875" customWidth="1"/>
    <col min="33" max="33" width="35.09765625" bestFit="1" customWidth="1"/>
  </cols>
  <sheetData>
    <row r="1" spans="1:46" x14ac:dyDescent="0.3">
      <c r="B1" s="15" t="s">
        <v>17</v>
      </c>
      <c r="C1" s="15"/>
      <c r="D1" s="15"/>
      <c r="E1" s="15"/>
      <c r="F1" s="1">
        <v>1000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B1">
        <v>11</v>
      </c>
      <c r="AC1">
        <v>12</v>
      </c>
      <c r="AD1">
        <v>13</v>
      </c>
      <c r="AE1">
        <v>14</v>
      </c>
    </row>
    <row r="2" spans="1:46" x14ac:dyDescent="0.3">
      <c r="B2" t="s">
        <v>26</v>
      </c>
      <c r="C2" t="s">
        <v>18</v>
      </c>
      <c r="D2" t="s">
        <v>15</v>
      </c>
      <c r="E2" t="s">
        <v>16</v>
      </c>
      <c r="F2" t="s">
        <v>19</v>
      </c>
      <c r="I2" t="s">
        <v>27</v>
      </c>
      <c r="M2" t="s">
        <v>23</v>
      </c>
      <c r="N2">
        <v>1</v>
      </c>
      <c r="Q2" t="s">
        <v>31</v>
      </c>
      <c r="R2" t="s">
        <v>30</v>
      </c>
      <c r="S2">
        <v>2010</v>
      </c>
      <c r="T2">
        <v>2011</v>
      </c>
      <c r="U2">
        <v>2012</v>
      </c>
      <c r="V2">
        <v>2013</v>
      </c>
      <c r="W2">
        <v>2014</v>
      </c>
      <c r="X2">
        <v>2015</v>
      </c>
      <c r="Y2">
        <v>2016</v>
      </c>
      <c r="Z2">
        <v>2017</v>
      </c>
      <c r="AA2">
        <v>2018</v>
      </c>
      <c r="AB2">
        <v>2019</v>
      </c>
      <c r="AC2">
        <v>2020</v>
      </c>
      <c r="AD2">
        <v>2021</v>
      </c>
      <c r="AE2">
        <v>2022</v>
      </c>
      <c r="AG2" t="s">
        <v>28</v>
      </c>
      <c r="AH2">
        <v>2010</v>
      </c>
      <c r="AI2">
        <v>2011</v>
      </c>
      <c r="AJ2">
        <v>2012</v>
      </c>
      <c r="AK2">
        <v>2013</v>
      </c>
      <c r="AL2">
        <v>2014</v>
      </c>
      <c r="AM2">
        <v>2015</v>
      </c>
      <c r="AN2">
        <v>2016</v>
      </c>
      <c r="AO2">
        <v>2017</v>
      </c>
      <c r="AP2">
        <v>2018</v>
      </c>
      <c r="AQ2">
        <v>2019</v>
      </c>
      <c r="AR2">
        <v>2020</v>
      </c>
      <c r="AS2">
        <v>2021</v>
      </c>
      <c r="AT2">
        <v>2022</v>
      </c>
    </row>
    <row r="3" spans="1:46" x14ac:dyDescent="0.3">
      <c r="A3" t="s">
        <v>25</v>
      </c>
      <c r="B3" t="s">
        <v>2</v>
      </c>
      <c r="C3" s="3">
        <f>3727490/1000</f>
        <v>3727.49</v>
      </c>
      <c r="D3" s="3">
        <f>1415841/I16</f>
        <v>1415.8409999999999</v>
      </c>
      <c r="E3" s="3">
        <f>11017879/F1</f>
        <v>11017.879000000001</v>
      </c>
      <c r="F3" s="3">
        <v>1</v>
      </c>
      <c r="G3" s="5"/>
      <c r="H3" s="5"/>
      <c r="I3" s="16" t="str">
        <f>IF(N2=1,B1,IF(N2=2,B14,B27))</f>
        <v>Top 10 cursos mais QUANTIDADE DE VAGAS</v>
      </c>
      <c r="J3" s="16"/>
      <c r="K3" s="16"/>
      <c r="L3" s="16"/>
      <c r="Q3" s="10" t="s">
        <v>2</v>
      </c>
      <c r="R3" t="b">
        <v>1</v>
      </c>
      <c r="S3">
        <v>263873</v>
      </c>
      <c r="T3">
        <v>275313</v>
      </c>
      <c r="U3">
        <v>315660</v>
      </c>
      <c r="V3">
        <v>285895</v>
      </c>
      <c r="W3">
        <v>302118</v>
      </c>
      <c r="X3">
        <v>266851</v>
      </c>
      <c r="Y3">
        <v>261913</v>
      </c>
      <c r="Z3">
        <v>265424</v>
      </c>
      <c r="AA3">
        <v>284541</v>
      </c>
      <c r="AB3">
        <v>298003</v>
      </c>
      <c r="AC3">
        <v>281469</v>
      </c>
      <c r="AD3">
        <v>284096</v>
      </c>
      <c r="AE3">
        <v>342334</v>
      </c>
      <c r="AG3" s="10" t="s">
        <v>2</v>
      </c>
      <c r="AH3" s="11">
        <f>IF($R3=TRUE,VLOOKUP($R3,$R$3:$AE$3,S$1,),0)/1000</f>
        <v>263.87299999999999</v>
      </c>
      <c r="AI3" s="11">
        <f t="shared" ref="AI3:AT3" si="0">IF($R3=TRUE,VLOOKUP($R3,$R$3:$AE$3,T$1,),0)/1000</f>
        <v>275.31299999999999</v>
      </c>
      <c r="AJ3" s="11">
        <f t="shared" si="0"/>
        <v>315.66000000000003</v>
      </c>
      <c r="AK3" s="11">
        <f t="shared" si="0"/>
        <v>285.89499999999998</v>
      </c>
      <c r="AL3" s="11">
        <f t="shared" si="0"/>
        <v>302.11799999999999</v>
      </c>
      <c r="AM3" s="11">
        <f t="shared" si="0"/>
        <v>266.851</v>
      </c>
      <c r="AN3" s="11">
        <f t="shared" si="0"/>
        <v>261.91300000000001</v>
      </c>
      <c r="AO3" s="11">
        <f t="shared" si="0"/>
        <v>265.42399999999998</v>
      </c>
      <c r="AP3" s="11">
        <f t="shared" si="0"/>
        <v>284.541</v>
      </c>
      <c r="AQ3" s="11">
        <f t="shared" si="0"/>
        <v>298.00299999999999</v>
      </c>
      <c r="AR3" s="11">
        <f t="shared" si="0"/>
        <v>281.46899999999999</v>
      </c>
      <c r="AS3" s="11">
        <f t="shared" si="0"/>
        <v>284.096</v>
      </c>
      <c r="AT3" s="11">
        <f t="shared" si="0"/>
        <v>342.334</v>
      </c>
    </row>
    <row r="4" spans="1:46" x14ac:dyDescent="0.3">
      <c r="A4" t="s">
        <v>25</v>
      </c>
      <c r="B4" t="s">
        <v>3</v>
      </c>
      <c r="C4" s="3">
        <f>3622360/1000</f>
        <v>3622.36</v>
      </c>
      <c r="D4" s="3">
        <f>1604606/F1</f>
        <v>1604.606</v>
      </c>
      <c r="E4" s="3">
        <f>8813832/F1</f>
        <v>8813.8320000000003</v>
      </c>
      <c r="F4" s="3">
        <v>2</v>
      </c>
      <c r="G4" s="5"/>
      <c r="H4" s="5"/>
      <c r="I4" s="5" t="str">
        <f>IF($I$3=$B$1,HLOOKUP($I$3,$B$1:$F$12,F3+1,FALSE),IF($I$3=$B$14,HLOOKUP($I$3,$B$14:$F$25,F3+1,FALSE),HLOOKUP($I$3,$B$27:$F$38,F3+1,FALSE)))</f>
        <v>Curso</v>
      </c>
      <c r="J4" t="str">
        <f>IF($I$3=$B$1,VLOOKUP($I4,$B$2:$F$12,2,FALSE),IF($I$3=$B$14,VLOOKUP($I4,$B$15:$F$25,2,FALSE),VLOOKUP($I4,$B$28:$F$38,2,FALSE)))</f>
        <v>inscritos</v>
      </c>
      <c r="K4" t="str">
        <f>IF($I$3=$B$1,VLOOKUP($I4,$B$2:$F$12,3,FALSE),IF($I$3=$B$14,VLOOKUP($I4,$B$15:$F$25,3,FALSE),VLOOKUP($I4,$B$28:$F$38,3,FALSE)))</f>
        <v>Formandos</v>
      </c>
      <c r="L4" t="str">
        <f>IF($I$3=$B$1,VLOOKUP($I4,$B$2:$F$12,4,FALSE),IF($I$3=$B$14,VLOOKUP($I4,$B$15:$F$25,4,FALSE),VLOOKUP($I4,$B$28:$F$38,4,FALSE)))</f>
        <v>Vagas</v>
      </c>
      <c r="O4">
        <v>1000</v>
      </c>
      <c r="Q4" s="10" t="s">
        <v>3</v>
      </c>
      <c r="R4" t="b">
        <v>1</v>
      </c>
      <c r="S4">
        <v>195091</v>
      </c>
      <c r="T4">
        <v>205560</v>
      </c>
      <c r="U4">
        <v>217632</v>
      </c>
      <c r="V4">
        <v>214489</v>
      </c>
      <c r="W4">
        <v>244358</v>
      </c>
      <c r="X4">
        <v>225553</v>
      </c>
      <c r="Y4">
        <v>261517</v>
      </c>
      <c r="Z4">
        <v>291787</v>
      </c>
      <c r="AA4">
        <v>345134</v>
      </c>
      <c r="AB4">
        <v>378078</v>
      </c>
      <c r="AC4">
        <v>338419</v>
      </c>
      <c r="AD4">
        <v>284306</v>
      </c>
      <c r="AE4">
        <v>420436</v>
      </c>
      <c r="AG4" s="10" t="s">
        <v>3</v>
      </c>
      <c r="AH4" s="11">
        <f>IF($R4=TRUE,VLOOKUP($R4,$R$4:$AE$4,S$1,),0)/1000</f>
        <v>195.09100000000001</v>
      </c>
      <c r="AI4" s="11">
        <f t="shared" ref="AI4:AT4" si="1">IF($R4=TRUE,VLOOKUP($R4,$R$4:$AE$4,T$1,),0)/1000</f>
        <v>205.56</v>
      </c>
      <c r="AJ4" s="11">
        <f t="shared" si="1"/>
        <v>217.63200000000001</v>
      </c>
      <c r="AK4" s="11">
        <f t="shared" si="1"/>
        <v>214.489</v>
      </c>
      <c r="AL4" s="11">
        <f t="shared" si="1"/>
        <v>244.358</v>
      </c>
      <c r="AM4" s="11">
        <f t="shared" si="1"/>
        <v>225.553</v>
      </c>
      <c r="AN4" s="11">
        <f t="shared" si="1"/>
        <v>261.517</v>
      </c>
      <c r="AO4" s="11">
        <f t="shared" si="1"/>
        <v>291.78699999999998</v>
      </c>
      <c r="AP4" s="11">
        <f t="shared" si="1"/>
        <v>345.13400000000001</v>
      </c>
      <c r="AQ4" s="11">
        <f t="shared" si="1"/>
        <v>378.07799999999997</v>
      </c>
      <c r="AR4" s="11">
        <f t="shared" si="1"/>
        <v>338.41899999999998</v>
      </c>
      <c r="AS4" s="11">
        <f t="shared" si="1"/>
        <v>284.30599999999998</v>
      </c>
      <c r="AT4" s="11">
        <f t="shared" si="1"/>
        <v>420.43599999999998</v>
      </c>
    </row>
    <row r="5" spans="1:46" x14ac:dyDescent="0.3">
      <c r="A5" t="s">
        <v>25</v>
      </c>
      <c r="B5" t="s">
        <v>5</v>
      </c>
      <c r="C5" s="3">
        <f>1758292/I16</f>
        <v>1758.2919999999999</v>
      </c>
      <c r="D5" s="3">
        <f>621954/F1</f>
        <v>621.95399999999995</v>
      </c>
      <c r="E5" s="3">
        <f>6034284/F1</f>
        <v>6034.2839999999997</v>
      </c>
      <c r="F5" s="3">
        <v>3</v>
      </c>
      <c r="G5" s="5"/>
      <c r="H5" s="5"/>
      <c r="I5" s="5" t="str">
        <f t="shared" ref="I5:I13" si="2">IF($I$3=$B$1,HLOOKUP($I$3,$B$1:$F$12,F4+1,FALSE),IF($I$3=$B$14,HLOOKUP($I$3,$B$14:$F$25,F4+1,FALSE),HLOOKUP($I$3,$B$27:$F$38,F4+1,FALSE)))</f>
        <v>Administração</v>
      </c>
      <c r="J5" s="3">
        <f t="shared" ref="J5:J14" si="3">IF($I$3=$B$1,VLOOKUP($I5,$B$2:$F$12,2,FALSE),IF($I$3=$B$14,VLOOKUP($I5,$B$15:$F$25,2,FALSE),VLOOKUP($I5,$B$28:$F$38,2,FALSE)))</f>
        <v>3727.49</v>
      </c>
      <c r="K5" s="3">
        <f t="shared" ref="K5:K14" si="4">IF($I$3=$B$1,VLOOKUP($I5,$B$2:$F$12,3,FALSE),IF($I$3=$B$14,VLOOKUP($I5,$B$15:$F$25,3,FALSE),VLOOKUP($I5,$B$28:$F$38,3,FALSE)))</f>
        <v>1415.8409999999999</v>
      </c>
      <c r="L5" s="3">
        <f t="shared" ref="L5:L14" si="5">IF($I$3=$B$1,VLOOKUP($I5,$B$2:$F$12,4,FALSE),IF($I$3=$B$14,VLOOKUP($I5,$B$15:$F$25,4,FALSE),VLOOKUP($I5,$B$28:$F$38,4,FALSE)))</f>
        <v>11017.879000000001</v>
      </c>
      <c r="Q5" s="10" t="s">
        <v>13</v>
      </c>
      <c r="R5" t="b">
        <v>0</v>
      </c>
      <c r="S5">
        <v>38615</v>
      </c>
      <c r="T5">
        <v>43099</v>
      </c>
      <c r="U5">
        <v>54967</v>
      </c>
      <c r="V5">
        <v>48662</v>
      </c>
      <c r="W5">
        <v>58533</v>
      </c>
      <c r="X5">
        <v>45098</v>
      </c>
      <c r="Y5">
        <v>46499</v>
      </c>
      <c r="Z5">
        <v>50247</v>
      </c>
      <c r="AA5">
        <v>58755</v>
      </c>
      <c r="AB5">
        <v>62872</v>
      </c>
      <c r="AC5">
        <v>73510</v>
      </c>
      <c r="AD5">
        <v>85020</v>
      </c>
      <c r="AE5">
        <v>94917</v>
      </c>
      <c r="AG5" s="10" t="s">
        <v>13</v>
      </c>
      <c r="AH5" s="11">
        <f>IF($R5=TRUE,VLOOKUP($R5,$R$5:$AE$5,S$1,),)/1000</f>
        <v>0</v>
      </c>
      <c r="AI5" s="11">
        <f t="shared" ref="AI5:AT5" si="6">IF($R5=TRUE,VLOOKUP($R5,$R$5:$AE$5,T$1,),)/1000</f>
        <v>0</v>
      </c>
      <c r="AJ5" s="11">
        <f t="shared" si="6"/>
        <v>0</v>
      </c>
      <c r="AK5" s="11">
        <f t="shared" si="6"/>
        <v>0</v>
      </c>
      <c r="AL5" s="11">
        <f t="shared" si="6"/>
        <v>0</v>
      </c>
      <c r="AM5" s="11">
        <f t="shared" si="6"/>
        <v>0</v>
      </c>
      <c r="AN5" s="11">
        <f t="shared" si="6"/>
        <v>0</v>
      </c>
      <c r="AO5" s="11">
        <f t="shared" si="6"/>
        <v>0</v>
      </c>
      <c r="AP5" s="11">
        <f t="shared" si="6"/>
        <v>0</v>
      </c>
      <c r="AQ5" s="11">
        <f t="shared" si="6"/>
        <v>0</v>
      </c>
      <c r="AR5" s="11">
        <f t="shared" si="6"/>
        <v>0</v>
      </c>
      <c r="AS5" s="11">
        <f t="shared" si="6"/>
        <v>0</v>
      </c>
      <c r="AT5" s="11">
        <f t="shared" si="6"/>
        <v>0</v>
      </c>
    </row>
    <row r="6" spans="1:46" x14ac:dyDescent="0.3">
      <c r="A6" t="s">
        <v>25</v>
      </c>
      <c r="B6" t="s">
        <v>4</v>
      </c>
      <c r="C6" s="3">
        <f>3046924/I16</f>
        <v>3046.924</v>
      </c>
      <c r="D6" s="3">
        <f>1401208/F1</f>
        <v>1401.2080000000001</v>
      </c>
      <c r="E6" s="3">
        <f>4982271/F1</f>
        <v>4982.2709999999997</v>
      </c>
      <c r="F6" s="3">
        <v>4</v>
      </c>
      <c r="G6" s="5"/>
      <c r="H6" s="5"/>
      <c r="I6" s="5" t="str">
        <f t="shared" si="2"/>
        <v>Pedagogia</v>
      </c>
      <c r="J6" s="3">
        <f t="shared" si="3"/>
        <v>3622.36</v>
      </c>
      <c r="K6" s="3">
        <f t="shared" si="4"/>
        <v>1604.606</v>
      </c>
      <c r="L6" s="3">
        <f t="shared" si="5"/>
        <v>8813.8320000000003</v>
      </c>
      <c r="Q6" s="10" t="s">
        <v>4</v>
      </c>
      <c r="R6" t="b">
        <v>0</v>
      </c>
      <c r="S6">
        <v>197188</v>
      </c>
      <c r="T6">
        <v>198641</v>
      </c>
      <c r="U6">
        <v>227770</v>
      </c>
      <c r="V6">
        <v>237530</v>
      </c>
      <c r="W6">
        <v>258867</v>
      </c>
      <c r="X6">
        <v>258143</v>
      </c>
      <c r="Y6">
        <v>255128</v>
      </c>
      <c r="Z6">
        <v>265493</v>
      </c>
      <c r="AA6">
        <v>252144</v>
      </c>
      <c r="AB6">
        <v>254867</v>
      </c>
      <c r="AC6">
        <v>221614</v>
      </c>
      <c r="AD6">
        <v>195968</v>
      </c>
      <c r="AE6">
        <v>223571</v>
      </c>
      <c r="AG6" s="10" t="s">
        <v>4</v>
      </c>
      <c r="AH6" s="11">
        <f>IF($R6=TRUE,VLOOKUP($R6,$R$6:$AE$6,S$1,),0)/1000</f>
        <v>0</v>
      </c>
      <c r="AI6" s="11">
        <f t="shared" ref="AI6:AT6" si="7">IF($R6=TRUE,VLOOKUP($R6,$R$6:$AE$6,T$1,),0)/1000</f>
        <v>0</v>
      </c>
      <c r="AJ6" s="11">
        <f t="shared" si="7"/>
        <v>0</v>
      </c>
      <c r="AK6" s="11">
        <f t="shared" si="7"/>
        <v>0</v>
      </c>
      <c r="AL6" s="11">
        <f t="shared" si="7"/>
        <v>0</v>
      </c>
      <c r="AM6" s="11">
        <f t="shared" si="7"/>
        <v>0</v>
      </c>
      <c r="AN6" s="11">
        <f t="shared" si="7"/>
        <v>0</v>
      </c>
      <c r="AO6" s="11">
        <f t="shared" si="7"/>
        <v>0</v>
      </c>
      <c r="AP6" s="11">
        <f t="shared" si="7"/>
        <v>0</v>
      </c>
      <c r="AQ6" s="11">
        <f t="shared" si="7"/>
        <v>0</v>
      </c>
      <c r="AR6" s="11">
        <f t="shared" si="7"/>
        <v>0</v>
      </c>
      <c r="AS6" s="11">
        <f t="shared" si="7"/>
        <v>0</v>
      </c>
      <c r="AT6" s="11">
        <f t="shared" si="7"/>
        <v>0</v>
      </c>
    </row>
    <row r="7" spans="1:46" x14ac:dyDescent="0.3">
      <c r="A7" t="s">
        <v>25</v>
      </c>
      <c r="B7" t="s">
        <v>8</v>
      </c>
      <c r="C7" s="3">
        <f>1261689/I16</f>
        <v>1261.6890000000001</v>
      </c>
      <c r="D7" s="3">
        <f>322816/F1</f>
        <v>322.81599999999997</v>
      </c>
      <c r="E7" s="3">
        <f>4748351/F1</f>
        <v>4748.3509999999997</v>
      </c>
      <c r="F7" s="3">
        <v>5</v>
      </c>
      <c r="G7" s="5"/>
      <c r="H7" s="5"/>
      <c r="I7" s="5" t="str">
        <f t="shared" si="2"/>
        <v>Contabilidade</v>
      </c>
      <c r="J7" s="3">
        <f t="shared" si="3"/>
        <v>1758.2919999999999</v>
      </c>
      <c r="K7" s="3">
        <f t="shared" si="4"/>
        <v>621.95399999999995</v>
      </c>
      <c r="L7" s="3">
        <f t="shared" si="5"/>
        <v>6034.2839999999997</v>
      </c>
      <c r="Q7" s="10" t="s">
        <v>14</v>
      </c>
      <c r="R7" t="b">
        <v>0</v>
      </c>
      <c r="S7">
        <v>24537</v>
      </c>
      <c r="T7">
        <v>24925</v>
      </c>
      <c r="U7">
        <v>33393</v>
      </c>
      <c r="V7">
        <v>28829</v>
      </c>
      <c r="W7">
        <v>30366</v>
      </c>
      <c r="X7">
        <v>25890</v>
      </c>
      <c r="Y7">
        <v>29750</v>
      </c>
      <c r="Z7">
        <v>36673</v>
      </c>
      <c r="AA7">
        <v>41762</v>
      </c>
      <c r="AB7">
        <v>47173</v>
      </c>
      <c r="AC7">
        <v>61011</v>
      </c>
      <c r="AD7">
        <v>72568</v>
      </c>
      <c r="AE7">
        <v>79669</v>
      </c>
      <c r="AG7" s="10" t="s">
        <v>14</v>
      </c>
      <c r="AH7" s="11">
        <f>IF($R7=TRUE,VLOOKUP($R7,$R$7:$AE$7,S$1,),0)/1000</f>
        <v>0</v>
      </c>
      <c r="AI7" s="11">
        <f t="shared" ref="AI7:AT7" si="8">IF($R7=TRUE,VLOOKUP($R7,$R$7:$AE$7,T$1,),0)/1000</f>
        <v>0</v>
      </c>
      <c r="AJ7" s="11">
        <f t="shared" si="8"/>
        <v>0</v>
      </c>
      <c r="AK7" s="11">
        <f t="shared" si="8"/>
        <v>0</v>
      </c>
      <c r="AL7" s="11">
        <f t="shared" si="8"/>
        <v>0</v>
      </c>
      <c r="AM7" s="11">
        <f t="shared" si="8"/>
        <v>0</v>
      </c>
      <c r="AN7" s="11">
        <f t="shared" si="8"/>
        <v>0</v>
      </c>
      <c r="AO7" s="11">
        <f t="shared" si="8"/>
        <v>0</v>
      </c>
      <c r="AP7" s="11">
        <f t="shared" si="8"/>
        <v>0</v>
      </c>
      <c r="AQ7" s="11">
        <f t="shared" si="8"/>
        <v>0</v>
      </c>
      <c r="AR7" s="11">
        <f t="shared" si="8"/>
        <v>0</v>
      </c>
      <c r="AS7" s="11">
        <f t="shared" si="8"/>
        <v>0</v>
      </c>
      <c r="AT7" s="11">
        <f t="shared" si="8"/>
        <v>0</v>
      </c>
    </row>
    <row r="8" spans="1:46" x14ac:dyDescent="0.3">
      <c r="A8" t="s">
        <v>25</v>
      </c>
      <c r="B8" t="s">
        <v>7</v>
      </c>
      <c r="C8" s="3">
        <f>1425967/1000</f>
        <v>1425.9670000000001</v>
      </c>
      <c r="D8" s="3">
        <f>521810/F1</f>
        <v>521.80999999999995</v>
      </c>
      <c r="E8" s="3">
        <f>4738020/F1</f>
        <v>4738.0200000000004</v>
      </c>
      <c r="F8" s="3">
        <v>6</v>
      </c>
      <c r="G8" s="5"/>
      <c r="H8" s="5"/>
      <c r="I8" s="5" t="str">
        <f t="shared" si="2"/>
        <v>Direito</v>
      </c>
      <c r="J8" s="3">
        <f t="shared" si="3"/>
        <v>3046.924</v>
      </c>
      <c r="K8" s="3">
        <f t="shared" si="4"/>
        <v>1401.2080000000001</v>
      </c>
      <c r="L8" s="3">
        <f t="shared" si="5"/>
        <v>4982.2709999999997</v>
      </c>
      <c r="Q8" s="10" t="s">
        <v>38</v>
      </c>
      <c r="R8" t="b">
        <v>0</v>
      </c>
      <c r="S8">
        <v>41027</v>
      </c>
      <c r="T8">
        <v>42029</v>
      </c>
      <c r="U8">
        <v>46296</v>
      </c>
      <c r="V8">
        <v>47157</v>
      </c>
      <c r="W8">
        <v>79417</v>
      </c>
      <c r="X8">
        <v>74532</v>
      </c>
      <c r="Y8">
        <v>89460</v>
      </c>
      <c r="Z8">
        <v>72043</v>
      </c>
      <c r="AA8">
        <v>69400</v>
      </c>
      <c r="AB8">
        <v>62326</v>
      </c>
      <c r="AC8">
        <v>54890</v>
      </c>
      <c r="AD8">
        <v>47277</v>
      </c>
      <c r="AE8">
        <v>57883</v>
      </c>
      <c r="AG8" s="10" t="s">
        <v>38</v>
      </c>
      <c r="AH8" s="11">
        <f>IF($R8=TRUE,VLOOKUP($R8,$R$8:$AE$8,S$1,),0)/1000</f>
        <v>0</v>
      </c>
      <c r="AI8" s="11">
        <f t="shared" ref="AI8:AT8" si="9">IF($R8=TRUE,VLOOKUP($R8,$R$8:$AE$8,T$1,),0)/1000</f>
        <v>0</v>
      </c>
      <c r="AJ8" s="11">
        <f t="shared" si="9"/>
        <v>0</v>
      </c>
      <c r="AK8" s="11">
        <f t="shared" si="9"/>
        <v>0</v>
      </c>
      <c r="AL8" s="11">
        <f t="shared" si="9"/>
        <v>0</v>
      </c>
      <c r="AM8" s="11">
        <f t="shared" si="9"/>
        <v>0</v>
      </c>
      <c r="AN8" s="11">
        <f t="shared" si="9"/>
        <v>0</v>
      </c>
      <c r="AO8" s="11">
        <f t="shared" si="9"/>
        <v>0</v>
      </c>
      <c r="AP8" s="11">
        <f t="shared" si="9"/>
        <v>0</v>
      </c>
      <c r="AQ8" s="11">
        <f t="shared" si="9"/>
        <v>0</v>
      </c>
      <c r="AR8" s="11">
        <f t="shared" si="9"/>
        <v>0</v>
      </c>
      <c r="AS8" s="11">
        <f t="shared" si="9"/>
        <v>0</v>
      </c>
      <c r="AT8" s="11">
        <f t="shared" si="9"/>
        <v>0</v>
      </c>
    </row>
    <row r="9" spans="1:46" x14ac:dyDescent="0.3">
      <c r="A9" t="s">
        <v>25</v>
      </c>
      <c r="B9" t="s">
        <v>9</v>
      </c>
      <c r="C9" s="3">
        <f>1126582/I16</f>
        <v>1126.5820000000001</v>
      </c>
      <c r="D9" s="3">
        <f>375963/F1</f>
        <v>375.96300000000002</v>
      </c>
      <c r="E9" s="3">
        <f>3716893/F1</f>
        <v>3716.893</v>
      </c>
      <c r="F9" s="3">
        <v>7</v>
      </c>
      <c r="G9" s="5"/>
      <c r="H9" s="5"/>
      <c r="I9" s="5" t="str">
        <f t="shared" si="2"/>
        <v>Sistemas de informação</v>
      </c>
      <c r="J9" s="3">
        <f t="shared" si="3"/>
        <v>1261.6890000000001</v>
      </c>
      <c r="K9" s="3">
        <f t="shared" si="4"/>
        <v>322.81599999999997</v>
      </c>
      <c r="L9" s="3">
        <f t="shared" si="5"/>
        <v>4748.3509999999997</v>
      </c>
      <c r="Q9" s="10" t="s">
        <v>37</v>
      </c>
      <c r="R9" t="b">
        <v>0</v>
      </c>
      <c r="S9">
        <v>21713</v>
      </c>
      <c r="T9">
        <v>24846</v>
      </c>
      <c r="U9">
        <v>30107</v>
      </c>
      <c r="V9">
        <v>36025</v>
      </c>
      <c r="W9">
        <v>49811</v>
      </c>
      <c r="X9">
        <v>55636</v>
      </c>
      <c r="Y9">
        <v>57882</v>
      </c>
      <c r="Z9">
        <v>83466</v>
      </c>
      <c r="AA9">
        <v>113334</v>
      </c>
      <c r="AB9">
        <v>127380</v>
      </c>
      <c r="AC9">
        <v>119381</v>
      </c>
      <c r="AD9">
        <v>110418</v>
      </c>
      <c r="AE9">
        <v>130055</v>
      </c>
      <c r="AG9" s="10" t="s">
        <v>37</v>
      </c>
      <c r="AH9" s="11">
        <f>IF($R9=TRUE,VLOOKUP($R9,$R$9:$AE$9,S$1,),0)/1000</f>
        <v>0</v>
      </c>
      <c r="AI9" s="11">
        <f t="shared" ref="AI9:AT9" si="10">IF($R9=TRUE,VLOOKUP($R9,$R$9:$AE$9,T$1,),0)/1000</f>
        <v>0</v>
      </c>
      <c r="AJ9" s="11">
        <f t="shared" si="10"/>
        <v>0</v>
      </c>
      <c r="AK9" s="11">
        <f t="shared" si="10"/>
        <v>0</v>
      </c>
      <c r="AL9" s="11">
        <f t="shared" si="10"/>
        <v>0</v>
      </c>
      <c r="AM9" s="11">
        <f t="shared" si="10"/>
        <v>0</v>
      </c>
      <c r="AN9" s="11">
        <f t="shared" si="10"/>
        <v>0</v>
      </c>
      <c r="AO9" s="11">
        <f t="shared" si="10"/>
        <v>0</v>
      </c>
      <c r="AP9" s="11">
        <f t="shared" si="10"/>
        <v>0</v>
      </c>
      <c r="AQ9" s="11">
        <f t="shared" si="10"/>
        <v>0</v>
      </c>
      <c r="AR9" s="11">
        <f t="shared" si="10"/>
        <v>0</v>
      </c>
      <c r="AS9" s="11">
        <f t="shared" si="10"/>
        <v>0</v>
      </c>
      <c r="AT9" s="11">
        <f t="shared" si="10"/>
        <v>0</v>
      </c>
    </row>
    <row r="10" spans="1:46" x14ac:dyDescent="0.3">
      <c r="A10" t="s">
        <v>25</v>
      </c>
      <c r="B10" t="s">
        <v>6</v>
      </c>
      <c r="C10" s="3">
        <f>1512215/I16</f>
        <v>1512.2149999999999</v>
      </c>
      <c r="D10" s="3">
        <f>528842/F1</f>
        <v>528.84199999999998</v>
      </c>
      <c r="E10" s="3">
        <f>3558908/F1</f>
        <v>3558.9079999999999</v>
      </c>
      <c r="F10" s="3">
        <v>8</v>
      </c>
      <c r="G10" s="5"/>
      <c r="H10" s="5"/>
      <c r="I10" s="5" t="str">
        <f t="shared" si="2"/>
        <v>Gestão de pessoas</v>
      </c>
      <c r="J10" s="3">
        <f t="shared" si="3"/>
        <v>1425.9670000000001</v>
      </c>
      <c r="K10" s="3">
        <f t="shared" si="4"/>
        <v>521.80999999999995</v>
      </c>
      <c r="L10" s="3">
        <f t="shared" si="5"/>
        <v>4738.0200000000004</v>
      </c>
      <c r="Q10" s="10" t="s">
        <v>5</v>
      </c>
      <c r="R10" t="b">
        <v>1</v>
      </c>
      <c r="S10">
        <v>90627</v>
      </c>
      <c r="T10">
        <v>101565</v>
      </c>
      <c r="U10">
        <v>127682</v>
      </c>
      <c r="V10">
        <v>124348</v>
      </c>
      <c r="W10">
        <v>137260</v>
      </c>
      <c r="X10">
        <v>129333</v>
      </c>
      <c r="Y10">
        <v>137522</v>
      </c>
      <c r="Z10">
        <v>148706</v>
      </c>
      <c r="AA10">
        <v>155385</v>
      </c>
      <c r="AB10">
        <v>155259</v>
      </c>
      <c r="AC10">
        <v>150450</v>
      </c>
      <c r="AD10">
        <v>143382</v>
      </c>
      <c r="AE10">
        <v>156773</v>
      </c>
      <c r="AG10" s="10" t="s">
        <v>5</v>
      </c>
      <c r="AH10" s="11">
        <f>IF($R10=TRUE,VLOOKUP($R10,$R$10:$AE$10,S$1,),0)/1000</f>
        <v>90.626999999999995</v>
      </c>
      <c r="AI10" s="11">
        <f t="shared" ref="AI10:AT10" si="11">IF($R10=TRUE,VLOOKUP($R10,$R$10:$AE$10,T$1,),0)/1000</f>
        <v>101.565</v>
      </c>
      <c r="AJ10" s="11">
        <f t="shared" si="11"/>
        <v>127.682</v>
      </c>
      <c r="AK10" s="11">
        <f t="shared" si="11"/>
        <v>124.348</v>
      </c>
      <c r="AL10" s="11">
        <f t="shared" si="11"/>
        <v>137.26</v>
      </c>
      <c r="AM10" s="11">
        <f t="shared" si="11"/>
        <v>129.333</v>
      </c>
      <c r="AN10" s="11">
        <f t="shared" si="11"/>
        <v>137.52199999999999</v>
      </c>
      <c r="AO10" s="11">
        <f t="shared" si="11"/>
        <v>148.70599999999999</v>
      </c>
      <c r="AP10" s="11">
        <f t="shared" si="11"/>
        <v>155.38499999999999</v>
      </c>
      <c r="AQ10" s="11">
        <f t="shared" si="11"/>
        <v>155.25899999999999</v>
      </c>
      <c r="AR10" s="11">
        <f t="shared" si="11"/>
        <v>150.44999999999999</v>
      </c>
      <c r="AS10" s="11">
        <f t="shared" si="11"/>
        <v>143.38200000000001</v>
      </c>
      <c r="AT10" s="11">
        <f t="shared" si="11"/>
        <v>156.773</v>
      </c>
    </row>
    <row r="11" spans="1:46" x14ac:dyDescent="0.3">
      <c r="A11" t="s">
        <v>25</v>
      </c>
      <c r="B11" t="s">
        <v>13</v>
      </c>
      <c r="C11" s="3">
        <f>760794/I16</f>
        <v>760.79399999999998</v>
      </c>
      <c r="D11" s="3">
        <f>258928/F1</f>
        <v>258.928</v>
      </c>
      <c r="E11" s="3">
        <f>3209688/F1</f>
        <v>3209.6880000000001</v>
      </c>
      <c r="F11" s="3">
        <v>9</v>
      </c>
      <c r="G11" s="5"/>
      <c r="H11" s="5"/>
      <c r="I11" s="5" t="str">
        <f t="shared" si="2"/>
        <v>Engenharia civil</v>
      </c>
      <c r="J11" s="3">
        <f t="shared" si="3"/>
        <v>1126.5820000000001</v>
      </c>
      <c r="K11" s="3">
        <f t="shared" si="4"/>
        <v>375.96300000000002</v>
      </c>
      <c r="L11" s="3">
        <f t="shared" si="5"/>
        <v>3716.893</v>
      </c>
      <c r="Q11" s="10" t="s">
        <v>36</v>
      </c>
      <c r="R11" t="b">
        <v>1</v>
      </c>
      <c r="S11">
        <v>65653</v>
      </c>
      <c r="T11">
        <v>78757</v>
      </c>
      <c r="U11">
        <v>102693</v>
      </c>
      <c r="V11">
        <v>100123</v>
      </c>
      <c r="W11">
        <v>113605</v>
      </c>
      <c r="X11">
        <v>93816</v>
      </c>
      <c r="Y11">
        <v>92744</v>
      </c>
      <c r="Z11">
        <v>99834</v>
      </c>
      <c r="AA11">
        <v>112881</v>
      </c>
      <c r="AB11">
        <v>127297</v>
      </c>
      <c r="AC11">
        <v>132916</v>
      </c>
      <c r="AD11">
        <v>145787</v>
      </c>
      <c r="AE11">
        <v>159861</v>
      </c>
      <c r="AG11" s="10" t="s">
        <v>36</v>
      </c>
      <c r="AH11" s="11">
        <f>IF($R11=TRUE,VLOOKUP($R11,$R$11:$AE$11,S$1,),0)/1000</f>
        <v>65.653000000000006</v>
      </c>
      <c r="AI11" s="11">
        <f t="shared" ref="AI11:AT11" si="12">IF($R11=TRUE,VLOOKUP($R11,$R$11:$AE$11,T$1,),0)/1000</f>
        <v>78.757000000000005</v>
      </c>
      <c r="AJ11" s="11">
        <f t="shared" si="12"/>
        <v>102.693</v>
      </c>
      <c r="AK11" s="11">
        <f t="shared" si="12"/>
        <v>100.123</v>
      </c>
      <c r="AL11" s="11">
        <f t="shared" si="12"/>
        <v>113.605</v>
      </c>
      <c r="AM11" s="11">
        <f t="shared" si="12"/>
        <v>93.816000000000003</v>
      </c>
      <c r="AN11" s="11">
        <f t="shared" si="12"/>
        <v>92.744</v>
      </c>
      <c r="AO11" s="11">
        <f t="shared" si="12"/>
        <v>99.834000000000003</v>
      </c>
      <c r="AP11" s="11">
        <f t="shared" si="12"/>
        <v>112.881</v>
      </c>
      <c r="AQ11" s="11">
        <f t="shared" si="12"/>
        <v>127.297</v>
      </c>
      <c r="AR11" s="11">
        <f t="shared" si="12"/>
        <v>132.916</v>
      </c>
      <c r="AS11" s="11">
        <f t="shared" si="12"/>
        <v>145.78700000000001</v>
      </c>
      <c r="AT11" s="11">
        <f t="shared" si="12"/>
        <v>159.86099999999999</v>
      </c>
    </row>
    <row r="12" spans="1:46" x14ac:dyDescent="0.3">
      <c r="B12" t="s">
        <v>14</v>
      </c>
      <c r="C12" s="3">
        <f>536546/I16</f>
        <v>536.54600000000005</v>
      </c>
      <c r="D12" s="3">
        <f>151806/F1</f>
        <v>151.80600000000001</v>
      </c>
      <c r="E12" s="3">
        <f>3102152/F1</f>
        <v>3102.152</v>
      </c>
      <c r="F12" s="3">
        <v>10</v>
      </c>
      <c r="G12" s="5"/>
      <c r="H12" s="5"/>
      <c r="I12" s="5" t="str">
        <f t="shared" si="2"/>
        <v>Enfermagem</v>
      </c>
      <c r="J12" s="3">
        <f t="shared" si="3"/>
        <v>1512.2149999999999</v>
      </c>
      <c r="K12" s="3">
        <f t="shared" si="4"/>
        <v>528.84199999999998</v>
      </c>
      <c r="L12" s="3">
        <f t="shared" si="5"/>
        <v>3558.9079999999999</v>
      </c>
      <c r="Q12" s="10" t="s">
        <v>6</v>
      </c>
      <c r="R12" t="b">
        <v>0</v>
      </c>
      <c r="S12">
        <v>70193</v>
      </c>
      <c r="T12">
        <v>69997</v>
      </c>
      <c r="U12">
        <v>76267</v>
      </c>
      <c r="V12">
        <v>78772</v>
      </c>
      <c r="W12">
        <v>92306</v>
      </c>
      <c r="X12">
        <v>87261</v>
      </c>
      <c r="Y12">
        <v>98533</v>
      </c>
      <c r="Z12">
        <v>113818</v>
      </c>
      <c r="AA12">
        <v>124955</v>
      </c>
      <c r="AB12">
        <v>138449</v>
      </c>
      <c r="AC12">
        <v>138016</v>
      </c>
      <c r="AD12">
        <v>182365</v>
      </c>
      <c r="AE12">
        <v>241283</v>
      </c>
      <c r="AG12" s="10" t="s">
        <v>6</v>
      </c>
      <c r="AH12" s="11">
        <f>IF($R12=TRUE,VLOOKUP($R12,$R$12:$AE$12,S$1,),0)/1000</f>
        <v>0</v>
      </c>
      <c r="AI12" s="11">
        <f t="shared" ref="AI12:AT12" si="13">IF($R12=TRUE,VLOOKUP($R12,$R$12:$AE$12,T$1,),0)/1000</f>
        <v>0</v>
      </c>
      <c r="AJ12" s="11">
        <f t="shared" si="13"/>
        <v>0</v>
      </c>
      <c r="AK12" s="11">
        <f t="shared" si="13"/>
        <v>0</v>
      </c>
      <c r="AL12" s="11">
        <f t="shared" si="13"/>
        <v>0</v>
      </c>
      <c r="AM12" s="11">
        <f t="shared" si="13"/>
        <v>0</v>
      </c>
      <c r="AN12" s="11">
        <f t="shared" si="13"/>
        <v>0</v>
      </c>
      <c r="AO12" s="11">
        <f t="shared" si="13"/>
        <v>0</v>
      </c>
      <c r="AP12" s="11">
        <f t="shared" si="13"/>
        <v>0</v>
      </c>
      <c r="AQ12" s="11">
        <f t="shared" si="13"/>
        <v>0</v>
      </c>
      <c r="AR12" s="11">
        <f t="shared" si="13"/>
        <v>0</v>
      </c>
      <c r="AS12" s="11">
        <f t="shared" si="13"/>
        <v>0</v>
      </c>
      <c r="AT12" s="11">
        <f t="shared" si="13"/>
        <v>0</v>
      </c>
    </row>
    <row r="13" spans="1:46" x14ac:dyDescent="0.3">
      <c r="I13" s="5" t="str">
        <f t="shared" si="2"/>
        <v>Logística</v>
      </c>
      <c r="J13" s="3">
        <f t="shared" si="3"/>
        <v>760.79399999999998</v>
      </c>
      <c r="K13" s="3">
        <f t="shared" si="4"/>
        <v>258.928</v>
      </c>
      <c r="L13" s="3">
        <f t="shared" si="5"/>
        <v>3209.6880000000001</v>
      </c>
      <c r="Q13" s="10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G13" s="10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</row>
    <row r="14" spans="1:46" x14ac:dyDescent="0.3">
      <c r="B14" s="15" t="s">
        <v>21</v>
      </c>
      <c r="C14" s="15"/>
      <c r="D14" s="15"/>
      <c r="E14" s="15"/>
      <c r="F14" s="3"/>
      <c r="G14" s="3"/>
      <c r="I14" s="5" t="str">
        <f>IF($I$3=$B$1,HLOOKUP($I$3,$B$1:$F$12,12,FALSE),IF($I$3=$B$14,HLOOKUP($I$3,$B$14:$F$25,12,FALSE),HLOOKUP($I$3,$B$27:$F$38,12,FALSE)))</f>
        <v>Marketing</v>
      </c>
      <c r="J14" s="4">
        <f t="shared" si="3"/>
        <v>536.54600000000005</v>
      </c>
      <c r="K14" s="4">
        <f t="shared" si="4"/>
        <v>151.80600000000001</v>
      </c>
      <c r="L14" s="4">
        <f t="shared" si="5"/>
        <v>3102.152</v>
      </c>
      <c r="Q14" s="10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G14" s="10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x14ac:dyDescent="0.3">
      <c r="B15" t="s">
        <v>26</v>
      </c>
      <c r="C15" t="s">
        <v>18</v>
      </c>
      <c r="D15" t="s">
        <v>15</v>
      </c>
      <c r="E15" t="s">
        <v>16</v>
      </c>
      <c r="F15" t="s">
        <v>19</v>
      </c>
      <c r="G15" s="3"/>
    </row>
    <row r="16" spans="1:46" x14ac:dyDescent="0.3">
      <c r="A16" t="s">
        <v>25</v>
      </c>
      <c r="B16" t="s">
        <v>3</v>
      </c>
      <c r="C16" s="3">
        <f>3622360/I16</f>
        <v>3622.36</v>
      </c>
      <c r="D16" s="3">
        <f>1604606/I16</f>
        <v>1604.606</v>
      </c>
      <c r="E16" s="3">
        <f>8813832/I16</f>
        <v>8813.8320000000003</v>
      </c>
      <c r="F16" s="3">
        <v>1</v>
      </c>
      <c r="G16" s="5"/>
      <c r="H16" s="5"/>
      <c r="I16" s="3">
        <v>1000</v>
      </c>
      <c r="Q16" t="s">
        <v>16</v>
      </c>
      <c r="R16" t="s">
        <v>29</v>
      </c>
      <c r="S16">
        <v>2010</v>
      </c>
      <c r="T16">
        <v>2011</v>
      </c>
      <c r="U16">
        <v>2012</v>
      </c>
      <c r="V16">
        <v>2013</v>
      </c>
      <c r="W16">
        <v>2014</v>
      </c>
      <c r="X16">
        <v>2015</v>
      </c>
      <c r="Y16">
        <v>2016</v>
      </c>
      <c r="Z16">
        <v>2017</v>
      </c>
      <c r="AA16">
        <v>2018</v>
      </c>
      <c r="AB16">
        <v>2019</v>
      </c>
      <c r="AC16">
        <v>2020</v>
      </c>
      <c r="AD16">
        <v>2021</v>
      </c>
      <c r="AE16">
        <v>2022</v>
      </c>
      <c r="AG16" s="10" t="s">
        <v>16</v>
      </c>
      <c r="AH16">
        <v>2010</v>
      </c>
      <c r="AI16">
        <v>2011</v>
      </c>
      <c r="AJ16">
        <v>2012</v>
      </c>
      <c r="AK16">
        <v>2013</v>
      </c>
      <c r="AL16">
        <v>2014</v>
      </c>
      <c r="AM16">
        <v>2015</v>
      </c>
      <c r="AN16">
        <v>2016</v>
      </c>
      <c r="AO16">
        <v>2017</v>
      </c>
      <c r="AP16">
        <v>2018</v>
      </c>
      <c r="AQ16">
        <v>2019</v>
      </c>
      <c r="AR16">
        <v>2020</v>
      </c>
      <c r="AS16">
        <v>2021</v>
      </c>
      <c r="AT16">
        <v>2022</v>
      </c>
    </row>
    <row r="17" spans="1:46" x14ac:dyDescent="0.3">
      <c r="A17" t="s">
        <v>25</v>
      </c>
      <c r="B17" t="s">
        <v>2</v>
      </c>
      <c r="C17" s="3">
        <f>3727490/I16</f>
        <v>3727.49</v>
      </c>
      <c r="D17" s="3">
        <f>1415841/I16</f>
        <v>1415.8409999999999</v>
      </c>
      <c r="E17" s="3">
        <f>11017879/I16</f>
        <v>11017.879000000001</v>
      </c>
      <c r="F17" s="3">
        <v>2</v>
      </c>
      <c r="G17" s="5"/>
      <c r="H17" s="5"/>
      <c r="Q17" s="10" t="s">
        <v>2</v>
      </c>
      <c r="R17" t="b">
        <v>1</v>
      </c>
      <c r="S17">
        <v>543366</v>
      </c>
      <c r="T17">
        <v>494706</v>
      </c>
      <c r="U17">
        <v>493349</v>
      </c>
      <c r="V17">
        <v>672744</v>
      </c>
      <c r="W17">
        <v>761012</v>
      </c>
      <c r="X17">
        <v>837457</v>
      </c>
      <c r="Y17">
        <v>944993</v>
      </c>
      <c r="Z17">
        <v>949533</v>
      </c>
      <c r="AA17">
        <v>1045311</v>
      </c>
      <c r="AB17">
        <v>1032393</v>
      </c>
      <c r="AC17">
        <v>1094932</v>
      </c>
      <c r="AD17">
        <v>1079007</v>
      </c>
      <c r="AE17">
        <v>1069076</v>
      </c>
      <c r="AG17" s="10" t="s">
        <v>2</v>
      </c>
      <c r="AH17" s="11">
        <f>IF($R17=TRUE,VLOOKUP($R17,$R$17:$AE$17,S$1,),0)/1000</f>
        <v>543.36599999999999</v>
      </c>
      <c r="AI17" s="11">
        <f t="shared" ref="AI17:AT17" si="14">IF($R17=TRUE,VLOOKUP($R17,$R$17:$AE$17,T$1,),0)/1000</f>
        <v>494.70600000000002</v>
      </c>
      <c r="AJ17" s="11">
        <f t="shared" si="14"/>
        <v>493.34899999999999</v>
      </c>
      <c r="AK17" s="11">
        <f t="shared" si="14"/>
        <v>672.74400000000003</v>
      </c>
      <c r="AL17" s="11">
        <f t="shared" si="14"/>
        <v>761.01199999999994</v>
      </c>
      <c r="AM17" s="11">
        <f t="shared" si="14"/>
        <v>837.45699999999999</v>
      </c>
      <c r="AN17" s="11">
        <f t="shared" si="14"/>
        <v>944.99300000000005</v>
      </c>
      <c r="AO17" s="11">
        <f t="shared" si="14"/>
        <v>949.53300000000002</v>
      </c>
      <c r="AP17" s="11">
        <f t="shared" si="14"/>
        <v>1045.3109999999999</v>
      </c>
      <c r="AQ17" s="11">
        <f t="shared" si="14"/>
        <v>1032.393</v>
      </c>
      <c r="AR17" s="11">
        <f t="shared" si="14"/>
        <v>1094.932</v>
      </c>
      <c r="AS17" s="11">
        <f t="shared" si="14"/>
        <v>1079.0070000000001</v>
      </c>
      <c r="AT17" s="11">
        <f t="shared" si="14"/>
        <v>1069.076</v>
      </c>
    </row>
    <row r="18" spans="1:46" x14ac:dyDescent="0.3">
      <c r="A18" t="s">
        <v>25</v>
      </c>
      <c r="B18" t="s">
        <v>4</v>
      </c>
      <c r="C18" s="3">
        <f>3046924/I16</f>
        <v>3046.924</v>
      </c>
      <c r="D18" s="3">
        <f>1401208/I16</f>
        <v>1401.2080000000001</v>
      </c>
      <c r="E18" s="3">
        <f>4982271/I16</f>
        <v>4982.2709999999997</v>
      </c>
      <c r="F18" s="3">
        <v>3</v>
      </c>
      <c r="G18" s="5"/>
      <c r="H18" s="5"/>
      <c r="Q18" s="10" t="s">
        <v>3</v>
      </c>
      <c r="R18" t="b">
        <v>1</v>
      </c>
      <c r="S18">
        <v>462341</v>
      </c>
      <c r="T18">
        <v>350032</v>
      </c>
      <c r="U18">
        <v>340534</v>
      </c>
      <c r="V18">
        <v>408178</v>
      </c>
      <c r="W18">
        <v>518229</v>
      </c>
      <c r="X18">
        <v>587861</v>
      </c>
      <c r="Y18">
        <v>652192</v>
      </c>
      <c r="Z18">
        <v>702060</v>
      </c>
      <c r="AA18">
        <v>863196</v>
      </c>
      <c r="AB18">
        <v>910462</v>
      </c>
      <c r="AC18">
        <v>999847</v>
      </c>
      <c r="AD18">
        <v>983125</v>
      </c>
      <c r="AE18">
        <v>1035775</v>
      </c>
      <c r="AG18" s="10" t="s">
        <v>3</v>
      </c>
      <c r="AH18" s="11">
        <f>IF($R18=TRUE,VLOOKUP($R18,$R$18:$AE$18,S$1,),0)/1000</f>
        <v>462.34100000000001</v>
      </c>
      <c r="AI18" s="11">
        <f t="shared" ref="AI18:AT18" si="15">IF($R18=TRUE,VLOOKUP($R18,$R$18:$AE$18,T$1,),0)/1000</f>
        <v>350.03199999999998</v>
      </c>
      <c r="AJ18" s="11">
        <f t="shared" si="15"/>
        <v>340.53399999999999</v>
      </c>
      <c r="AK18" s="11">
        <f t="shared" si="15"/>
        <v>408.178</v>
      </c>
      <c r="AL18" s="11">
        <f t="shared" si="15"/>
        <v>518.22900000000004</v>
      </c>
      <c r="AM18" s="11">
        <f t="shared" si="15"/>
        <v>587.86099999999999</v>
      </c>
      <c r="AN18" s="11">
        <f t="shared" si="15"/>
        <v>652.19200000000001</v>
      </c>
      <c r="AO18" s="11">
        <f t="shared" si="15"/>
        <v>702.06</v>
      </c>
      <c r="AP18" s="11">
        <f t="shared" si="15"/>
        <v>863.19600000000003</v>
      </c>
      <c r="AQ18" s="11">
        <f t="shared" si="15"/>
        <v>910.46199999999999</v>
      </c>
      <c r="AR18" s="11">
        <f t="shared" si="15"/>
        <v>999.84699999999998</v>
      </c>
      <c r="AS18" s="11">
        <f t="shared" si="15"/>
        <v>983.125</v>
      </c>
      <c r="AT18" s="11">
        <f t="shared" si="15"/>
        <v>1035.7750000000001</v>
      </c>
    </row>
    <row r="19" spans="1:46" x14ac:dyDescent="0.3">
      <c r="A19" t="s">
        <v>25</v>
      </c>
      <c r="B19" t="s">
        <v>5</v>
      </c>
      <c r="C19" s="3">
        <f>1758292/I16</f>
        <v>1758.2919999999999</v>
      </c>
      <c r="D19" s="3">
        <f>621954/I16</f>
        <v>621.95399999999995</v>
      </c>
      <c r="E19" s="3">
        <f>6034284/I16</f>
        <v>6034.2839999999997</v>
      </c>
      <c r="F19" s="3">
        <v>4</v>
      </c>
      <c r="G19" s="5"/>
      <c r="H19" s="5"/>
      <c r="Q19" s="10" t="s">
        <v>13</v>
      </c>
      <c r="R19" t="b">
        <v>0</v>
      </c>
      <c r="S19">
        <v>115389</v>
      </c>
      <c r="T19">
        <v>102932</v>
      </c>
      <c r="U19">
        <v>112446</v>
      </c>
      <c r="V19">
        <v>149960</v>
      </c>
      <c r="W19">
        <v>197453</v>
      </c>
      <c r="X19">
        <v>194182</v>
      </c>
      <c r="Y19">
        <v>227303</v>
      </c>
      <c r="Z19">
        <v>229710</v>
      </c>
      <c r="AA19">
        <v>304597</v>
      </c>
      <c r="AB19">
        <v>337104</v>
      </c>
      <c r="AC19">
        <v>387575</v>
      </c>
      <c r="AD19">
        <v>430536</v>
      </c>
      <c r="AE19">
        <v>420501</v>
      </c>
      <c r="AG19" s="10" t="s">
        <v>13</v>
      </c>
      <c r="AH19" s="11">
        <f>IF($R19=TRUE,VLOOKUP($R19,$R$19:$AE$19,S$1,),0)/1000</f>
        <v>0</v>
      </c>
      <c r="AI19" s="11">
        <f t="shared" ref="AI19:AT19" si="16">IF($R19=TRUE,VLOOKUP($R19,$R$19:$AE$19,T$1,),0)/1000</f>
        <v>0</v>
      </c>
      <c r="AJ19" s="11">
        <f t="shared" si="16"/>
        <v>0</v>
      </c>
      <c r="AK19" s="11">
        <f t="shared" si="16"/>
        <v>0</v>
      </c>
      <c r="AL19" s="11">
        <f t="shared" si="16"/>
        <v>0</v>
      </c>
      <c r="AM19" s="11">
        <f t="shared" si="16"/>
        <v>0</v>
      </c>
      <c r="AN19" s="11">
        <f t="shared" si="16"/>
        <v>0</v>
      </c>
      <c r="AO19" s="11">
        <f t="shared" si="16"/>
        <v>0</v>
      </c>
      <c r="AP19" s="11">
        <f t="shared" si="16"/>
        <v>0</v>
      </c>
      <c r="AQ19" s="11">
        <f t="shared" si="16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</row>
    <row r="20" spans="1:46" x14ac:dyDescent="0.3">
      <c r="A20" t="s">
        <v>25</v>
      </c>
      <c r="B20" t="s">
        <v>6</v>
      </c>
      <c r="C20" s="3">
        <f>1512215/I16</f>
        <v>1512.2149999999999</v>
      </c>
      <c r="D20" s="3">
        <f>528842/I16</f>
        <v>528.84199999999998</v>
      </c>
      <c r="E20" s="3">
        <f>3558908/I16</f>
        <v>3558.9079999999999</v>
      </c>
      <c r="F20" s="3">
        <v>5</v>
      </c>
      <c r="G20" s="5"/>
      <c r="H20" s="5"/>
      <c r="Q20" s="10" t="s">
        <v>4</v>
      </c>
      <c r="R20" t="b">
        <v>0</v>
      </c>
      <c r="S20">
        <v>218752</v>
      </c>
      <c r="T20">
        <v>214821</v>
      </c>
      <c r="U20">
        <v>217540</v>
      </c>
      <c r="V20">
        <v>270783</v>
      </c>
      <c r="W20">
        <v>359875</v>
      </c>
      <c r="X20">
        <v>396310</v>
      </c>
      <c r="Y20">
        <v>413835</v>
      </c>
      <c r="Z20">
        <v>409750</v>
      </c>
      <c r="AA20">
        <v>471643</v>
      </c>
      <c r="AB20">
        <v>492372</v>
      </c>
      <c r="AC20">
        <v>507146</v>
      </c>
      <c r="AD20">
        <v>503352</v>
      </c>
      <c r="AE20">
        <v>506092</v>
      </c>
      <c r="AG20" s="10" t="s">
        <v>4</v>
      </c>
      <c r="AH20" s="11">
        <f>IF($R20=TRUE,VLOOKUP($R20,$R$20:$AE$20,S$1,),0)/1000</f>
        <v>0</v>
      </c>
      <c r="AI20" s="11">
        <f t="shared" ref="AI20:AT20" si="17">IF($R20=TRUE,VLOOKUP($R20,$R$20:$AE$20,T$1,),0)/1000</f>
        <v>0</v>
      </c>
      <c r="AJ20" s="11">
        <f t="shared" si="17"/>
        <v>0</v>
      </c>
      <c r="AK20" s="11">
        <f t="shared" si="17"/>
        <v>0</v>
      </c>
      <c r="AL20" s="11">
        <f t="shared" si="17"/>
        <v>0</v>
      </c>
      <c r="AM20" s="11">
        <f t="shared" si="17"/>
        <v>0</v>
      </c>
      <c r="AN20" s="11">
        <f t="shared" si="17"/>
        <v>0</v>
      </c>
      <c r="AO20" s="11">
        <f t="shared" si="17"/>
        <v>0</v>
      </c>
      <c r="AP20" s="11">
        <f t="shared" si="17"/>
        <v>0</v>
      </c>
      <c r="AQ20" s="11">
        <f t="shared" si="17"/>
        <v>0</v>
      </c>
      <c r="AR20" s="11">
        <f t="shared" si="17"/>
        <v>0</v>
      </c>
      <c r="AS20" s="11">
        <f t="shared" si="17"/>
        <v>0</v>
      </c>
      <c r="AT20" s="11">
        <f t="shared" si="17"/>
        <v>0</v>
      </c>
    </row>
    <row r="21" spans="1:46" x14ac:dyDescent="0.3">
      <c r="A21" t="s">
        <v>25</v>
      </c>
      <c r="B21" t="s">
        <v>7</v>
      </c>
      <c r="C21" s="3">
        <f>1425967/I16</f>
        <v>1425.9670000000001</v>
      </c>
      <c r="D21" s="3">
        <f>521810/I16</f>
        <v>521.80999999999995</v>
      </c>
      <c r="E21" s="3">
        <f>4738020/I16</f>
        <v>4738.0200000000004</v>
      </c>
      <c r="F21" s="3">
        <v>6</v>
      </c>
      <c r="G21" s="5"/>
      <c r="H21" s="5"/>
      <c r="Q21" s="10" t="s">
        <v>14</v>
      </c>
      <c r="R21" t="b">
        <v>0</v>
      </c>
      <c r="S21">
        <v>133969</v>
      </c>
      <c r="T21">
        <v>100409</v>
      </c>
      <c r="U21">
        <v>114581</v>
      </c>
      <c r="V21">
        <v>149716</v>
      </c>
      <c r="W21">
        <v>192409</v>
      </c>
      <c r="X21">
        <v>163604</v>
      </c>
      <c r="Y21">
        <v>240821</v>
      </c>
      <c r="Z21">
        <v>212091</v>
      </c>
      <c r="AA21">
        <v>242883</v>
      </c>
      <c r="AB21">
        <v>300478</v>
      </c>
      <c r="AC21">
        <v>345664</v>
      </c>
      <c r="AD21">
        <v>439476</v>
      </c>
      <c r="AE21">
        <v>466051</v>
      </c>
      <c r="AG21" s="10" t="s">
        <v>14</v>
      </c>
      <c r="AH21" s="11">
        <f>IF($R21=TRUE,VLOOKUP($R21,$R$21:$AE$21,S$1,),0)/1000</f>
        <v>0</v>
      </c>
      <c r="AI21" s="11">
        <f t="shared" ref="AI21:AT21" si="18">IF($R21=TRUE,VLOOKUP($R21,$R$21:$AE$21,T$1,),0)/1000</f>
        <v>0</v>
      </c>
      <c r="AJ21" s="11">
        <f t="shared" si="18"/>
        <v>0</v>
      </c>
      <c r="AK21" s="11">
        <f t="shared" si="18"/>
        <v>0</v>
      </c>
      <c r="AL21" s="11">
        <f t="shared" si="18"/>
        <v>0</v>
      </c>
      <c r="AM21" s="11">
        <f t="shared" si="18"/>
        <v>0</v>
      </c>
      <c r="AN21" s="11">
        <f t="shared" si="18"/>
        <v>0</v>
      </c>
      <c r="AO21" s="11">
        <f t="shared" si="18"/>
        <v>0</v>
      </c>
      <c r="AP21" s="11">
        <f t="shared" si="18"/>
        <v>0</v>
      </c>
      <c r="AQ21" s="11">
        <f t="shared" si="18"/>
        <v>0</v>
      </c>
      <c r="AR21" s="11">
        <f t="shared" si="18"/>
        <v>0</v>
      </c>
      <c r="AS21" s="11">
        <f t="shared" si="18"/>
        <v>0</v>
      </c>
      <c r="AT21" s="11">
        <f t="shared" si="18"/>
        <v>0</v>
      </c>
    </row>
    <row r="22" spans="1:46" x14ac:dyDescent="0.3">
      <c r="A22" t="s">
        <v>25</v>
      </c>
      <c r="B22" t="s">
        <v>9</v>
      </c>
      <c r="C22" s="3">
        <f>1126582/I16</f>
        <v>1126.5820000000001</v>
      </c>
      <c r="D22" s="3">
        <f>375963/I16</f>
        <v>375.96300000000002</v>
      </c>
      <c r="E22" s="3">
        <f>3716893/I16</f>
        <v>3716.893</v>
      </c>
      <c r="F22" s="3">
        <v>7</v>
      </c>
      <c r="G22" s="5"/>
      <c r="H22" s="5"/>
      <c r="Q22" s="10" t="s">
        <v>38</v>
      </c>
      <c r="R22" t="b">
        <v>0</v>
      </c>
      <c r="S22">
        <v>77376</v>
      </c>
      <c r="T22">
        <v>74746</v>
      </c>
      <c r="U22">
        <v>75404</v>
      </c>
      <c r="V22">
        <v>86911</v>
      </c>
      <c r="W22">
        <v>154561</v>
      </c>
      <c r="X22">
        <v>155518</v>
      </c>
      <c r="Y22">
        <v>196473</v>
      </c>
      <c r="Z22">
        <v>184931</v>
      </c>
      <c r="AA22">
        <v>243628</v>
      </c>
      <c r="AB22">
        <v>292127</v>
      </c>
      <c r="AC22">
        <v>317969</v>
      </c>
      <c r="AD22">
        <v>316133</v>
      </c>
      <c r="AE22">
        <v>331541</v>
      </c>
      <c r="AG22" s="10" t="s">
        <v>38</v>
      </c>
      <c r="AH22" s="11">
        <f>IF($R22=TRUE,VLOOKUP($R22,$R$22:$AE$22,S$1,),0)/1000</f>
        <v>0</v>
      </c>
      <c r="AI22" s="11">
        <f t="shared" ref="AI22:AT22" si="19">IF($R22=TRUE,VLOOKUP($R22,$R$22:$AE$22,T$1,),0)/1000</f>
        <v>0</v>
      </c>
      <c r="AJ22" s="11">
        <f t="shared" si="19"/>
        <v>0</v>
      </c>
      <c r="AK22" s="11">
        <f t="shared" si="19"/>
        <v>0</v>
      </c>
      <c r="AL22" s="11">
        <f t="shared" si="19"/>
        <v>0</v>
      </c>
      <c r="AM22" s="11">
        <f t="shared" si="19"/>
        <v>0</v>
      </c>
      <c r="AN22" s="11">
        <f t="shared" si="19"/>
        <v>0</v>
      </c>
      <c r="AO22" s="11">
        <f t="shared" si="19"/>
        <v>0</v>
      </c>
      <c r="AP22" s="11">
        <f t="shared" si="19"/>
        <v>0</v>
      </c>
      <c r="AQ22" s="11">
        <f t="shared" si="19"/>
        <v>0</v>
      </c>
      <c r="AR22" s="11">
        <f t="shared" si="19"/>
        <v>0</v>
      </c>
      <c r="AS22" s="11">
        <f t="shared" si="19"/>
        <v>0</v>
      </c>
      <c r="AT22" s="11">
        <f t="shared" si="19"/>
        <v>0</v>
      </c>
    </row>
    <row r="23" spans="1:46" x14ac:dyDescent="0.3">
      <c r="B23" t="s">
        <v>10</v>
      </c>
      <c r="C23" s="3">
        <f>1045333/I16</f>
        <v>1045.3330000000001</v>
      </c>
      <c r="D23" s="3">
        <f>359561/I16</f>
        <v>359.56099999999998</v>
      </c>
      <c r="E23" s="3">
        <f>2068189/I16</f>
        <v>2068.1889999999999</v>
      </c>
      <c r="F23" s="3">
        <v>8</v>
      </c>
      <c r="G23" s="5"/>
      <c r="H23" s="5"/>
      <c r="Q23" s="10" t="s">
        <v>37</v>
      </c>
      <c r="R23" t="b">
        <v>0</v>
      </c>
      <c r="S23">
        <v>42282</v>
      </c>
      <c r="T23">
        <v>48092</v>
      </c>
      <c r="U23">
        <v>48696</v>
      </c>
      <c r="V23">
        <v>61450</v>
      </c>
      <c r="W23">
        <v>90376</v>
      </c>
      <c r="X23">
        <v>115789</v>
      </c>
      <c r="Y23">
        <v>181438</v>
      </c>
      <c r="Z23">
        <v>255963</v>
      </c>
      <c r="AA23">
        <v>331997</v>
      </c>
      <c r="AB23">
        <v>352654</v>
      </c>
      <c r="AC23">
        <v>415271</v>
      </c>
      <c r="AD23">
        <v>517918</v>
      </c>
      <c r="AE23">
        <v>469697</v>
      </c>
      <c r="AG23" s="10" t="s">
        <v>37</v>
      </c>
      <c r="AH23" s="11">
        <f>IF($R23=TRUE,VLOOKUP($R23,$R$23:$AE$23,S$1,),0)/1000</f>
        <v>0</v>
      </c>
      <c r="AI23" s="11">
        <f t="shared" ref="AI23:AT23" si="20">IF($R23=TRUE,VLOOKUP($R23,$R$23:$AE$23,T$1,),0)/1000</f>
        <v>0</v>
      </c>
      <c r="AJ23" s="11">
        <f t="shared" si="20"/>
        <v>0</v>
      </c>
      <c r="AK23" s="11">
        <f t="shared" si="20"/>
        <v>0</v>
      </c>
      <c r="AL23" s="11">
        <f t="shared" si="20"/>
        <v>0</v>
      </c>
      <c r="AM23" s="11">
        <f t="shared" si="20"/>
        <v>0</v>
      </c>
      <c r="AN23" s="11">
        <f t="shared" si="20"/>
        <v>0</v>
      </c>
      <c r="AO23" s="11">
        <f t="shared" si="20"/>
        <v>0</v>
      </c>
      <c r="AP23" s="11">
        <f t="shared" si="20"/>
        <v>0</v>
      </c>
      <c r="AQ23" s="11">
        <f t="shared" si="20"/>
        <v>0</v>
      </c>
      <c r="AR23" s="11">
        <f t="shared" si="20"/>
        <v>0</v>
      </c>
      <c r="AS23" s="11">
        <f t="shared" si="20"/>
        <v>0</v>
      </c>
      <c r="AT23" s="11">
        <f t="shared" si="20"/>
        <v>0</v>
      </c>
    </row>
    <row r="24" spans="1:46" x14ac:dyDescent="0.3">
      <c r="A24" t="s">
        <v>25</v>
      </c>
      <c r="B24" t="s">
        <v>8</v>
      </c>
      <c r="C24" s="3">
        <f>1261689/I16</f>
        <v>1261.6890000000001</v>
      </c>
      <c r="D24" s="3">
        <f>322816/I16</f>
        <v>322.81599999999997</v>
      </c>
      <c r="E24" s="3">
        <f>4748351/I16</f>
        <v>4748.3509999999997</v>
      </c>
      <c r="F24" s="3">
        <v>9</v>
      </c>
      <c r="G24" s="5"/>
      <c r="H24" s="5"/>
      <c r="Q24" s="10" t="s">
        <v>5</v>
      </c>
      <c r="R24" t="b">
        <v>1</v>
      </c>
      <c r="S24">
        <v>215116</v>
      </c>
      <c r="T24">
        <v>202322</v>
      </c>
      <c r="U24">
        <v>228447</v>
      </c>
      <c r="V24">
        <v>281348</v>
      </c>
      <c r="W24">
        <v>363807</v>
      </c>
      <c r="X24">
        <v>399450</v>
      </c>
      <c r="Y24">
        <v>459511</v>
      </c>
      <c r="Z24">
        <v>467183</v>
      </c>
      <c r="AA24">
        <v>595250</v>
      </c>
      <c r="AB24">
        <v>671912</v>
      </c>
      <c r="AC24">
        <v>693671</v>
      </c>
      <c r="AD24">
        <v>732753</v>
      </c>
      <c r="AE24">
        <v>723514</v>
      </c>
      <c r="AG24" s="10" t="s">
        <v>5</v>
      </c>
      <c r="AH24" s="11">
        <f>IF($R24=TRUE,VLOOKUP($R24,$R$24:$AE$24,S$1,),0)/1000</f>
        <v>215.11600000000001</v>
      </c>
      <c r="AI24" s="11">
        <f t="shared" ref="AI24:AT24" si="21">IF($R24=TRUE,VLOOKUP($R24,$R$24:$AE$24,T$1,),0)/1000</f>
        <v>202.322</v>
      </c>
      <c r="AJ24" s="11">
        <f t="shared" si="21"/>
        <v>228.447</v>
      </c>
      <c r="AK24" s="11">
        <f t="shared" si="21"/>
        <v>281.34800000000001</v>
      </c>
      <c r="AL24" s="11">
        <f t="shared" si="21"/>
        <v>363.80700000000002</v>
      </c>
      <c r="AM24" s="11">
        <f t="shared" si="21"/>
        <v>399.45</v>
      </c>
      <c r="AN24" s="11">
        <f t="shared" si="21"/>
        <v>459.51100000000002</v>
      </c>
      <c r="AO24" s="11">
        <f t="shared" si="21"/>
        <v>467.18299999999999</v>
      </c>
      <c r="AP24" s="11">
        <f t="shared" si="21"/>
        <v>595.25</v>
      </c>
      <c r="AQ24" s="11">
        <f t="shared" si="21"/>
        <v>671.91200000000003</v>
      </c>
      <c r="AR24" s="11">
        <f t="shared" si="21"/>
        <v>693.67100000000005</v>
      </c>
      <c r="AS24" s="11">
        <f t="shared" si="21"/>
        <v>732.75300000000004</v>
      </c>
      <c r="AT24" s="11">
        <f t="shared" si="21"/>
        <v>723.51400000000001</v>
      </c>
    </row>
    <row r="25" spans="1:46" x14ac:dyDescent="0.3">
      <c r="B25" t="s">
        <v>12</v>
      </c>
      <c r="C25" s="3">
        <f>783737/I16</f>
        <v>783.73699999999997</v>
      </c>
      <c r="D25" s="3">
        <f>308402/I16</f>
        <v>308.40199999999999</v>
      </c>
      <c r="E25" s="3">
        <f>2507318/I16</f>
        <v>2507.3180000000002</v>
      </c>
      <c r="F25" s="3">
        <v>10</v>
      </c>
      <c r="G25" s="5"/>
      <c r="H25" s="5"/>
      <c r="Q25" s="10" t="s">
        <v>36</v>
      </c>
      <c r="R25" t="b">
        <v>1</v>
      </c>
      <c r="S25">
        <v>156463</v>
      </c>
      <c r="T25">
        <v>141727</v>
      </c>
      <c r="U25">
        <v>156787</v>
      </c>
      <c r="V25">
        <v>208077</v>
      </c>
      <c r="W25">
        <v>258048</v>
      </c>
      <c r="X25">
        <v>268480</v>
      </c>
      <c r="Y25">
        <v>341978</v>
      </c>
      <c r="Z25">
        <v>332688</v>
      </c>
      <c r="AA25">
        <v>415857</v>
      </c>
      <c r="AB25">
        <v>437083</v>
      </c>
      <c r="AC25">
        <v>621622</v>
      </c>
      <c r="AD25">
        <v>696888</v>
      </c>
      <c r="AE25">
        <v>702322</v>
      </c>
      <c r="AG25" s="10" t="s">
        <v>36</v>
      </c>
      <c r="AH25" s="11">
        <f>IF($R25=TRUE,VLOOKUP($R25,$R$25:$AE$25,S$1,),0)/1000</f>
        <v>156.46299999999999</v>
      </c>
      <c r="AI25" s="11">
        <f t="shared" ref="AI25:AT25" si="22">IF($R25=TRUE,VLOOKUP($R25,$R$25:$AE$25,T$1,),0)/1000</f>
        <v>141.727</v>
      </c>
      <c r="AJ25" s="11">
        <f t="shared" si="22"/>
        <v>156.78700000000001</v>
      </c>
      <c r="AK25" s="11">
        <f t="shared" si="22"/>
        <v>208.077</v>
      </c>
      <c r="AL25" s="11">
        <f t="shared" si="22"/>
        <v>258.048</v>
      </c>
      <c r="AM25" s="11">
        <f t="shared" si="22"/>
        <v>268.48</v>
      </c>
      <c r="AN25" s="11">
        <f t="shared" si="22"/>
        <v>341.97800000000001</v>
      </c>
      <c r="AO25" s="11">
        <f t="shared" si="22"/>
        <v>332.68799999999999</v>
      </c>
      <c r="AP25" s="11">
        <f t="shared" si="22"/>
        <v>415.85700000000003</v>
      </c>
      <c r="AQ25" s="11">
        <f t="shared" si="22"/>
        <v>437.08300000000003</v>
      </c>
      <c r="AR25" s="11">
        <f t="shared" si="22"/>
        <v>621.62199999999996</v>
      </c>
      <c r="AS25" s="11">
        <f t="shared" si="22"/>
        <v>696.88800000000003</v>
      </c>
      <c r="AT25" s="11">
        <f t="shared" si="22"/>
        <v>702.322</v>
      </c>
    </row>
    <row r="26" spans="1:46" x14ac:dyDescent="0.3">
      <c r="E26" s="3"/>
      <c r="F26" s="3"/>
      <c r="G26" s="3"/>
      <c r="Q26" s="10" t="s">
        <v>6</v>
      </c>
      <c r="R26" t="b">
        <v>0</v>
      </c>
      <c r="S26">
        <v>132143</v>
      </c>
      <c r="T26">
        <v>119592</v>
      </c>
      <c r="U26">
        <v>118893</v>
      </c>
      <c r="V26">
        <v>157922</v>
      </c>
      <c r="W26">
        <v>197416</v>
      </c>
      <c r="X26">
        <v>231232</v>
      </c>
      <c r="Y26">
        <v>328866</v>
      </c>
      <c r="Z26">
        <v>313103</v>
      </c>
      <c r="AA26">
        <v>324640</v>
      </c>
      <c r="AB26">
        <v>341283</v>
      </c>
      <c r="AC26">
        <v>370047</v>
      </c>
      <c r="AD26">
        <v>425744</v>
      </c>
      <c r="AE26">
        <v>498027</v>
      </c>
      <c r="AG26" s="10" t="s">
        <v>6</v>
      </c>
      <c r="AH26" s="11">
        <f>IF($R26=TRUE,VLOOKUP($R26,$R$26:$AE$26,S$1,),0)/1000</f>
        <v>0</v>
      </c>
      <c r="AI26" s="11">
        <f t="shared" ref="AI26:AT26" si="23">IF($R26=TRUE,VLOOKUP($R26,$R$26:$AE$26,T$1,),0)/1000</f>
        <v>0</v>
      </c>
      <c r="AJ26" s="11">
        <f t="shared" si="23"/>
        <v>0</v>
      </c>
      <c r="AK26" s="11">
        <f t="shared" si="23"/>
        <v>0</v>
      </c>
      <c r="AL26" s="11">
        <f t="shared" si="23"/>
        <v>0</v>
      </c>
      <c r="AM26" s="11">
        <f t="shared" si="23"/>
        <v>0</v>
      </c>
      <c r="AN26" s="11">
        <f t="shared" si="23"/>
        <v>0</v>
      </c>
      <c r="AO26" s="11">
        <f t="shared" si="23"/>
        <v>0</v>
      </c>
      <c r="AP26" s="11">
        <f t="shared" si="23"/>
        <v>0</v>
      </c>
      <c r="AQ26" s="11">
        <f t="shared" si="23"/>
        <v>0</v>
      </c>
      <c r="AR26" s="11">
        <f t="shared" si="23"/>
        <v>0</v>
      </c>
      <c r="AS26" s="11">
        <f t="shared" si="23"/>
        <v>0</v>
      </c>
      <c r="AT26" s="11">
        <f t="shared" si="23"/>
        <v>0</v>
      </c>
    </row>
    <row r="27" spans="1:46" x14ac:dyDescent="0.3">
      <c r="B27" s="15" t="s">
        <v>22</v>
      </c>
      <c r="C27" s="15"/>
      <c r="D27" s="15"/>
      <c r="E27" s="15"/>
      <c r="F27" s="3"/>
      <c r="G27" s="3"/>
      <c r="Q27" s="10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G27" s="10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spans="1:46" x14ac:dyDescent="0.3">
      <c r="B28" t="s">
        <v>26</v>
      </c>
      <c r="C28" t="s">
        <v>18</v>
      </c>
      <c r="D28" t="s">
        <v>15</v>
      </c>
      <c r="E28" t="s">
        <v>16</v>
      </c>
      <c r="F28" t="s">
        <v>19</v>
      </c>
      <c r="G28" s="3">
        <v>1000</v>
      </c>
      <c r="Q28" s="10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G28" s="10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1:46" x14ac:dyDescent="0.3">
      <c r="A29" t="s">
        <v>25</v>
      </c>
      <c r="B29" t="s">
        <v>2</v>
      </c>
      <c r="C29" s="3">
        <f>3727490/G28</f>
        <v>3727.49</v>
      </c>
      <c r="D29" s="3">
        <f>1415841/G28</f>
        <v>1415.8409999999999</v>
      </c>
      <c r="E29" s="3">
        <f>11017879/G28</f>
        <v>11017.879000000001</v>
      </c>
      <c r="F29" s="3">
        <v>1</v>
      </c>
      <c r="G29" s="5"/>
      <c r="H29" s="5"/>
    </row>
    <row r="30" spans="1:46" x14ac:dyDescent="0.3">
      <c r="A30" t="s">
        <v>25</v>
      </c>
      <c r="B30" t="s">
        <v>3</v>
      </c>
      <c r="C30" s="3">
        <f>3622360/G28</f>
        <v>3622.36</v>
      </c>
      <c r="D30" s="3">
        <f>1604606/G28</f>
        <v>1604.606</v>
      </c>
      <c r="E30" s="3">
        <f>8813832/G28</f>
        <v>8813.8320000000003</v>
      </c>
      <c r="F30" s="3">
        <v>2</v>
      </c>
      <c r="G30" s="5"/>
      <c r="H30" s="5"/>
    </row>
    <row r="31" spans="1:46" x14ac:dyDescent="0.3">
      <c r="A31" t="s">
        <v>25</v>
      </c>
      <c r="B31" t="s">
        <v>4</v>
      </c>
      <c r="C31" s="3">
        <f>3046924/G28</f>
        <v>3046.924</v>
      </c>
      <c r="D31" s="3">
        <f>1401208/G28</f>
        <v>1401.2080000000001</v>
      </c>
      <c r="E31" s="3">
        <f>4982271/G28</f>
        <v>4982.2709999999997</v>
      </c>
      <c r="F31" s="3">
        <v>3</v>
      </c>
      <c r="G31" s="5"/>
      <c r="H31" s="5"/>
    </row>
    <row r="32" spans="1:46" x14ac:dyDescent="0.3">
      <c r="A32" t="s">
        <v>25</v>
      </c>
      <c r="B32" t="s">
        <v>5</v>
      </c>
      <c r="C32" s="3">
        <f>1758292/G28</f>
        <v>1758.2919999999999</v>
      </c>
      <c r="D32" s="3">
        <f>621954/G28</f>
        <v>621.95399999999995</v>
      </c>
      <c r="E32" s="3">
        <f>6034284/G28</f>
        <v>6034.2839999999997</v>
      </c>
      <c r="F32" s="3">
        <v>4</v>
      </c>
      <c r="G32" s="5"/>
      <c r="H32" s="5"/>
    </row>
    <row r="33" spans="1:13" x14ac:dyDescent="0.3">
      <c r="A33" t="s">
        <v>25</v>
      </c>
      <c r="B33" t="s">
        <v>6</v>
      </c>
      <c r="C33" s="3">
        <f>1512215/G28</f>
        <v>1512.2149999999999</v>
      </c>
      <c r="D33" s="3">
        <f>528842/G28</f>
        <v>528.84199999999998</v>
      </c>
      <c r="E33" s="3">
        <f>3558908/G28</f>
        <v>3558.9079999999999</v>
      </c>
      <c r="F33" s="3">
        <v>5</v>
      </c>
      <c r="G33" s="5"/>
      <c r="H33" s="5"/>
    </row>
    <row r="34" spans="1:13" x14ac:dyDescent="0.3">
      <c r="A34" t="s">
        <v>25</v>
      </c>
      <c r="B34" t="s">
        <v>7</v>
      </c>
      <c r="C34" s="3">
        <f>1425967/G28</f>
        <v>1425.9670000000001</v>
      </c>
      <c r="D34" s="3">
        <f>521810/G28</f>
        <v>521.80999999999995</v>
      </c>
      <c r="E34" s="3">
        <f>4738020/G28</f>
        <v>4738.0200000000004</v>
      </c>
      <c r="F34" s="3">
        <v>6</v>
      </c>
      <c r="G34" s="5"/>
      <c r="H34" s="5"/>
    </row>
    <row r="35" spans="1:13" x14ac:dyDescent="0.3">
      <c r="A35" t="s">
        <v>25</v>
      </c>
      <c r="B35" t="s">
        <v>8</v>
      </c>
      <c r="C35" s="3">
        <f>1261689/G28</f>
        <v>1261.6890000000001</v>
      </c>
      <c r="D35" s="3">
        <f>322816/G28</f>
        <v>322.81599999999997</v>
      </c>
      <c r="E35" s="3">
        <f>4748351/G28</f>
        <v>4748.3509999999997</v>
      </c>
      <c r="F35" s="3">
        <v>7</v>
      </c>
      <c r="G35" s="5"/>
      <c r="H35" s="5"/>
    </row>
    <row r="36" spans="1:13" x14ac:dyDescent="0.3">
      <c r="A36" t="s">
        <v>25</v>
      </c>
      <c r="B36" t="s">
        <v>9</v>
      </c>
      <c r="C36" s="3">
        <f>1126582/G28</f>
        <v>1126.5820000000001</v>
      </c>
      <c r="D36" s="3">
        <f>375963/G28</f>
        <v>375.96300000000002</v>
      </c>
      <c r="E36" s="3">
        <f>3716893/G28</f>
        <v>3716.893</v>
      </c>
      <c r="F36" s="3">
        <v>8</v>
      </c>
      <c r="G36" s="5"/>
      <c r="H36" s="5"/>
    </row>
    <row r="37" spans="1:13" x14ac:dyDescent="0.3">
      <c r="A37" t="s">
        <v>25</v>
      </c>
      <c r="B37" t="s">
        <v>10</v>
      </c>
      <c r="C37" s="3">
        <f>1045333/G28</f>
        <v>1045.3330000000001</v>
      </c>
      <c r="D37" s="3">
        <f>359561/G28</f>
        <v>359.56099999999998</v>
      </c>
      <c r="E37" s="3">
        <f>2068189/G28</f>
        <v>2068.1889999999999</v>
      </c>
      <c r="F37" s="3">
        <v>9</v>
      </c>
      <c r="G37" s="5"/>
      <c r="H37" s="5"/>
      <c r="J37" t="s">
        <v>32</v>
      </c>
      <c r="K37" t="s">
        <v>33</v>
      </c>
      <c r="L37" t="s">
        <v>34</v>
      </c>
      <c r="M37" t="s">
        <v>35</v>
      </c>
    </row>
    <row r="38" spans="1:13" x14ac:dyDescent="0.3">
      <c r="A38" t="s">
        <v>25</v>
      </c>
      <c r="B38" t="s">
        <v>11</v>
      </c>
      <c r="C38" s="3">
        <f>960054/G28</f>
        <v>960.05399999999997</v>
      </c>
      <c r="D38" s="3">
        <f>258461/G28</f>
        <v>258.46100000000001</v>
      </c>
      <c r="E38" s="3">
        <f>2931623/G28</f>
        <v>2931.623</v>
      </c>
      <c r="F38" s="3">
        <v>10</v>
      </c>
      <c r="G38" s="5"/>
      <c r="H38" s="5"/>
      <c r="J38">
        <v>2010</v>
      </c>
      <c r="K38" t="s">
        <v>11</v>
      </c>
      <c r="L38">
        <v>21713</v>
      </c>
      <c r="M38">
        <v>42282</v>
      </c>
    </row>
    <row r="39" spans="1:13" x14ac:dyDescent="0.3">
      <c r="J39">
        <v>2010</v>
      </c>
      <c r="K39" t="s">
        <v>12</v>
      </c>
      <c r="L39">
        <v>41027</v>
      </c>
      <c r="M39">
        <v>77376</v>
      </c>
    </row>
    <row r="40" spans="1:13" x14ac:dyDescent="0.3">
      <c r="B40" t="s">
        <v>24</v>
      </c>
      <c r="J40">
        <v>2010</v>
      </c>
      <c r="K40" t="s">
        <v>13</v>
      </c>
      <c r="L40">
        <v>38615</v>
      </c>
      <c r="M40">
        <v>115389</v>
      </c>
    </row>
    <row r="41" spans="1:13" x14ac:dyDescent="0.3">
      <c r="A41">
        <v>1</v>
      </c>
      <c r="B41" s="9" t="s">
        <v>2</v>
      </c>
      <c r="C41" s="8">
        <v>4</v>
      </c>
      <c r="J41">
        <v>2010</v>
      </c>
      <c r="K41" t="s">
        <v>6</v>
      </c>
      <c r="L41">
        <v>70193</v>
      </c>
      <c r="M41">
        <v>132143</v>
      </c>
    </row>
    <row r="42" spans="1:13" x14ac:dyDescent="0.3">
      <c r="A42">
        <v>2</v>
      </c>
      <c r="B42" s="9" t="s">
        <v>3</v>
      </c>
      <c r="C42" s="8">
        <v>5</v>
      </c>
      <c r="J42">
        <v>2010</v>
      </c>
      <c r="K42" t="s">
        <v>14</v>
      </c>
      <c r="L42">
        <v>24537</v>
      </c>
      <c r="M42">
        <v>133969</v>
      </c>
    </row>
    <row r="43" spans="1:13" x14ac:dyDescent="0.3">
      <c r="A43">
        <v>3</v>
      </c>
      <c r="B43" s="9" t="s">
        <v>13</v>
      </c>
      <c r="C43" s="8">
        <v>9</v>
      </c>
      <c r="J43">
        <v>2010</v>
      </c>
      <c r="K43" t="s">
        <v>7</v>
      </c>
      <c r="L43">
        <v>65653</v>
      </c>
      <c r="M43">
        <v>156463</v>
      </c>
    </row>
    <row r="44" spans="1:13" x14ac:dyDescent="0.3">
      <c r="A44">
        <v>4</v>
      </c>
      <c r="B44" s="9" t="s">
        <v>4</v>
      </c>
      <c r="C44" s="8">
        <v>10</v>
      </c>
      <c r="J44">
        <v>2010</v>
      </c>
      <c r="K44" t="s">
        <v>5</v>
      </c>
      <c r="L44">
        <v>90627</v>
      </c>
      <c r="M44">
        <v>215116</v>
      </c>
    </row>
    <row r="45" spans="1:13" x14ac:dyDescent="0.3">
      <c r="A45">
        <v>5</v>
      </c>
      <c r="B45" t="s">
        <v>14</v>
      </c>
      <c r="C45" s="8">
        <v>10</v>
      </c>
      <c r="J45">
        <v>2010</v>
      </c>
      <c r="K45" t="s">
        <v>4</v>
      </c>
      <c r="L45">
        <v>197188</v>
      </c>
      <c r="M45">
        <v>218752</v>
      </c>
    </row>
    <row r="46" spans="1:13" x14ac:dyDescent="0.3">
      <c r="B46" t="s">
        <v>12</v>
      </c>
      <c r="C46" s="8">
        <v>10</v>
      </c>
      <c r="J46">
        <v>2010</v>
      </c>
      <c r="K46" t="s">
        <v>3</v>
      </c>
      <c r="L46">
        <v>195091</v>
      </c>
      <c r="M46">
        <v>462341</v>
      </c>
    </row>
    <row r="47" spans="1:13" x14ac:dyDescent="0.3">
      <c r="B47" t="s">
        <v>11</v>
      </c>
      <c r="C47" s="8">
        <v>10</v>
      </c>
      <c r="J47">
        <v>2010</v>
      </c>
      <c r="K47" t="s">
        <v>2</v>
      </c>
      <c r="L47">
        <v>263873</v>
      </c>
      <c r="M47">
        <v>543366</v>
      </c>
    </row>
    <row r="48" spans="1:13" x14ac:dyDescent="0.3">
      <c r="B48" s="9" t="s">
        <v>5</v>
      </c>
      <c r="C48" s="8">
        <v>11</v>
      </c>
      <c r="J48">
        <v>2011</v>
      </c>
      <c r="K48" t="s">
        <v>11</v>
      </c>
      <c r="L48">
        <v>24846</v>
      </c>
      <c r="M48">
        <v>48092</v>
      </c>
    </row>
    <row r="49" spans="2:13" x14ac:dyDescent="0.3">
      <c r="B49" s="9" t="s">
        <v>7</v>
      </c>
      <c r="C49" s="8">
        <v>18</v>
      </c>
      <c r="J49">
        <v>2011</v>
      </c>
      <c r="K49" t="s">
        <v>12</v>
      </c>
      <c r="L49">
        <v>42029</v>
      </c>
      <c r="M49">
        <v>74746</v>
      </c>
    </row>
    <row r="50" spans="2:13" x14ac:dyDescent="0.3">
      <c r="B50" s="9" t="s">
        <v>6</v>
      </c>
      <c r="C50" s="8">
        <v>18</v>
      </c>
      <c r="J50">
        <v>2011</v>
      </c>
      <c r="K50" t="s">
        <v>14</v>
      </c>
      <c r="L50">
        <v>24925</v>
      </c>
      <c r="M50">
        <v>100409</v>
      </c>
    </row>
    <row r="51" spans="2:13" x14ac:dyDescent="0.3">
      <c r="B51" s="9"/>
      <c r="C51" s="8"/>
      <c r="J51">
        <v>2011</v>
      </c>
      <c r="K51" t="s">
        <v>13</v>
      </c>
      <c r="L51">
        <v>43099</v>
      </c>
      <c r="M51">
        <v>102932</v>
      </c>
    </row>
    <row r="52" spans="2:13" x14ac:dyDescent="0.3">
      <c r="B52" s="9"/>
      <c r="C52" s="8"/>
      <c r="J52">
        <v>2011</v>
      </c>
      <c r="K52" t="s">
        <v>6</v>
      </c>
      <c r="L52">
        <v>69997</v>
      </c>
      <c r="M52">
        <v>119592</v>
      </c>
    </row>
    <row r="53" spans="2:13" x14ac:dyDescent="0.3">
      <c r="J53">
        <v>2011</v>
      </c>
      <c r="K53" t="s">
        <v>7</v>
      </c>
      <c r="L53">
        <v>78757</v>
      </c>
      <c r="M53">
        <v>141727</v>
      </c>
    </row>
    <row r="54" spans="2:13" x14ac:dyDescent="0.3">
      <c r="J54">
        <v>2011</v>
      </c>
      <c r="K54" t="s">
        <v>5</v>
      </c>
      <c r="L54">
        <v>101565</v>
      </c>
      <c r="M54">
        <v>202322</v>
      </c>
    </row>
    <row r="55" spans="2:13" x14ac:dyDescent="0.3">
      <c r="C55" s="3"/>
      <c r="D55" s="3"/>
      <c r="E55" s="3"/>
      <c r="F55" s="3"/>
      <c r="G55" s="5"/>
      <c r="H55" s="5"/>
      <c r="J55">
        <v>2011</v>
      </c>
      <c r="K55" t="s">
        <v>4</v>
      </c>
      <c r="L55">
        <v>198641</v>
      </c>
      <c r="M55">
        <v>214821</v>
      </c>
    </row>
    <row r="56" spans="2:13" x14ac:dyDescent="0.3">
      <c r="C56" s="3"/>
      <c r="D56" s="3"/>
      <c r="E56" s="3"/>
      <c r="F56" s="3"/>
      <c r="G56" s="5"/>
      <c r="H56" s="5"/>
      <c r="J56">
        <v>2011</v>
      </c>
      <c r="K56" t="s">
        <v>3</v>
      </c>
      <c r="L56">
        <v>205560</v>
      </c>
      <c r="M56">
        <v>350032</v>
      </c>
    </row>
    <row r="57" spans="2:13" x14ac:dyDescent="0.3">
      <c r="C57" s="3"/>
      <c r="D57" s="3"/>
      <c r="E57" s="3"/>
      <c r="F57" s="3"/>
      <c r="G57" s="5"/>
      <c r="H57" s="5"/>
      <c r="J57">
        <v>2011</v>
      </c>
      <c r="K57" t="s">
        <v>2</v>
      </c>
      <c r="L57">
        <v>275313</v>
      </c>
      <c r="M57">
        <v>494706</v>
      </c>
    </row>
    <row r="58" spans="2:13" x14ac:dyDescent="0.3">
      <c r="C58" s="3"/>
      <c r="D58" s="3"/>
      <c r="E58" s="3"/>
      <c r="F58" s="3"/>
      <c r="G58" s="5"/>
      <c r="H58" s="5"/>
      <c r="J58">
        <v>2012</v>
      </c>
      <c r="K58" t="s">
        <v>11</v>
      </c>
      <c r="L58">
        <v>30107</v>
      </c>
      <c r="M58">
        <v>48696</v>
      </c>
    </row>
    <row r="59" spans="2:13" x14ac:dyDescent="0.3">
      <c r="C59" s="3"/>
      <c r="D59" s="3"/>
      <c r="E59" s="3"/>
      <c r="F59" s="3"/>
      <c r="G59" s="5"/>
      <c r="H59" s="5"/>
      <c r="J59">
        <v>2012</v>
      </c>
      <c r="K59" t="s">
        <v>12</v>
      </c>
      <c r="L59">
        <v>46296</v>
      </c>
      <c r="M59">
        <v>75404</v>
      </c>
    </row>
    <row r="60" spans="2:13" x14ac:dyDescent="0.3">
      <c r="C60" s="3"/>
      <c r="D60" s="3"/>
      <c r="E60" s="3"/>
      <c r="F60" s="3"/>
      <c r="G60" s="5"/>
      <c r="H60" s="5"/>
      <c r="J60">
        <v>2012</v>
      </c>
      <c r="K60" t="s">
        <v>13</v>
      </c>
      <c r="L60">
        <v>54967</v>
      </c>
      <c r="M60">
        <v>112446</v>
      </c>
    </row>
    <row r="61" spans="2:13" x14ac:dyDescent="0.3">
      <c r="C61" s="3"/>
      <c r="D61" s="3"/>
      <c r="E61" s="3"/>
      <c r="F61" s="3"/>
      <c r="G61" s="5"/>
      <c r="H61" s="5"/>
      <c r="J61">
        <v>2012</v>
      </c>
      <c r="K61" t="s">
        <v>14</v>
      </c>
      <c r="L61">
        <v>33393</v>
      </c>
      <c r="M61">
        <v>114581</v>
      </c>
    </row>
    <row r="62" spans="2:13" x14ac:dyDescent="0.3">
      <c r="C62" s="3"/>
      <c r="D62" s="3"/>
      <c r="E62" s="3"/>
      <c r="F62" s="3"/>
      <c r="G62" s="5"/>
      <c r="H62" s="5"/>
      <c r="J62">
        <v>2012</v>
      </c>
      <c r="K62" t="s">
        <v>6</v>
      </c>
      <c r="L62">
        <v>76267</v>
      </c>
      <c r="M62">
        <v>118893</v>
      </c>
    </row>
    <row r="63" spans="2:13" x14ac:dyDescent="0.3">
      <c r="C63" s="3"/>
      <c r="D63" s="3"/>
      <c r="E63" s="3"/>
      <c r="F63" s="3"/>
      <c r="G63" s="5"/>
      <c r="H63" s="5"/>
      <c r="J63">
        <v>2012</v>
      </c>
      <c r="K63" t="s">
        <v>7</v>
      </c>
      <c r="L63">
        <v>102693</v>
      </c>
      <c r="M63">
        <v>156787</v>
      </c>
    </row>
    <row r="64" spans="2:13" x14ac:dyDescent="0.3">
      <c r="C64" s="3"/>
      <c r="D64" s="3"/>
      <c r="E64" s="3"/>
      <c r="F64" s="3"/>
      <c r="G64" s="5"/>
      <c r="H64" s="5"/>
      <c r="J64">
        <v>2012</v>
      </c>
      <c r="K64" t="s">
        <v>4</v>
      </c>
      <c r="L64">
        <v>227770</v>
      </c>
      <c r="M64">
        <v>217540</v>
      </c>
    </row>
    <row r="65" spans="10:13" x14ac:dyDescent="0.3">
      <c r="J65">
        <v>2012</v>
      </c>
      <c r="K65" t="s">
        <v>5</v>
      </c>
      <c r="L65">
        <v>127682</v>
      </c>
      <c r="M65">
        <v>228447</v>
      </c>
    </row>
    <row r="66" spans="10:13" x14ac:dyDescent="0.3">
      <c r="J66">
        <v>2012</v>
      </c>
      <c r="K66" t="s">
        <v>3</v>
      </c>
      <c r="L66">
        <v>217632</v>
      </c>
      <c r="M66">
        <v>340534</v>
      </c>
    </row>
    <row r="67" spans="10:13" x14ac:dyDescent="0.3">
      <c r="J67">
        <v>2012</v>
      </c>
      <c r="K67" t="s">
        <v>2</v>
      </c>
      <c r="L67">
        <v>315660</v>
      </c>
      <c r="M67">
        <v>493349</v>
      </c>
    </row>
    <row r="68" spans="10:13" x14ac:dyDescent="0.3">
      <c r="J68">
        <v>2013</v>
      </c>
      <c r="K68" t="s">
        <v>11</v>
      </c>
      <c r="L68">
        <v>36025</v>
      </c>
      <c r="M68">
        <v>61450</v>
      </c>
    </row>
    <row r="69" spans="10:13" x14ac:dyDescent="0.3">
      <c r="J69">
        <v>2013</v>
      </c>
      <c r="K69" t="s">
        <v>12</v>
      </c>
      <c r="L69">
        <v>47157</v>
      </c>
      <c r="M69">
        <v>86911</v>
      </c>
    </row>
    <row r="70" spans="10:13" x14ac:dyDescent="0.3">
      <c r="J70">
        <v>2013</v>
      </c>
      <c r="K70" t="s">
        <v>14</v>
      </c>
      <c r="L70">
        <v>28829</v>
      </c>
      <c r="M70">
        <v>149716</v>
      </c>
    </row>
    <row r="71" spans="10:13" x14ac:dyDescent="0.3">
      <c r="J71">
        <v>2013</v>
      </c>
      <c r="K71" t="s">
        <v>13</v>
      </c>
      <c r="L71">
        <v>48662</v>
      </c>
      <c r="M71">
        <v>149960</v>
      </c>
    </row>
    <row r="72" spans="10:13" x14ac:dyDescent="0.3">
      <c r="J72">
        <v>2013</v>
      </c>
      <c r="K72" t="s">
        <v>6</v>
      </c>
      <c r="L72">
        <v>78772</v>
      </c>
      <c r="M72">
        <v>157922</v>
      </c>
    </row>
    <row r="73" spans="10:13" x14ac:dyDescent="0.3">
      <c r="J73">
        <v>2013</v>
      </c>
      <c r="K73" t="s">
        <v>7</v>
      </c>
      <c r="L73">
        <v>100123</v>
      </c>
      <c r="M73">
        <v>208077</v>
      </c>
    </row>
    <row r="74" spans="10:13" x14ac:dyDescent="0.3">
      <c r="J74">
        <v>2013</v>
      </c>
      <c r="K74" t="s">
        <v>4</v>
      </c>
      <c r="L74">
        <v>237530</v>
      </c>
      <c r="M74">
        <v>270783</v>
      </c>
    </row>
    <row r="75" spans="10:13" x14ac:dyDescent="0.3">
      <c r="J75">
        <v>2013</v>
      </c>
      <c r="K75" t="s">
        <v>5</v>
      </c>
      <c r="L75">
        <v>124348</v>
      </c>
      <c r="M75">
        <v>281348</v>
      </c>
    </row>
    <row r="76" spans="10:13" x14ac:dyDescent="0.3">
      <c r="J76">
        <v>2013</v>
      </c>
      <c r="K76" t="s">
        <v>3</v>
      </c>
      <c r="L76">
        <v>214489</v>
      </c>
      <c r="M76">
        <v>408178</v>
      </c>
    </row>
    <row r="77" spans="10:13" x14ac:dyDescent="0.3">
      <c r="J77">
        <v>2013</v>
      </c>
      <c r="K77" t="s">
        <v>2</v>
      </c>
      <c r="L77">
        <v>285895</v>
      </c>
      <c r="M77">
        <v>672744</v>
      </c>
    </row>
    <row r="78" spans="10:13" x14ac:dyDescent="0.3">
      <c r="J78">
        <v>2014</v>
      </c>
      <c r="K78" t="s">
        <v>11</v>
      </c>
      <c r="L78">
        <v>49811</v>
      </c>
      <c r="M78">
        <v>90376</v>
      </c>
    </row>
    <row r="79" spans="10:13" x14ac:dyDescent="0.3">
      <c r="J79">
        <v>2014</v>
      </c>
      <c r="K79" t="s">
        <v>12</v>
      </c>
      <c r="L79">
        <v>79417</v>
      </c>
      <c r="M79">
        <v>154561</v>
      </c>
    </row>
    <row r="80" spans="10:13" x14ac:dyDescent="0.3">
      <c r="J80">
        <v>2014</v>
      </c>
      <c r="K80" t="s">
        <v>14</v>
      </c>
      <c r="L80">
        <v>30366</v>
      </c>
      <c r="M80">
        <v>192409</v>
      </c>
    </row>
    <row r="81" spans="10:13" x14ac:dyDescent="0.3">
      <c r="J81">
        <v>2014</v>
      </c>
      <c r="K81" t="s">
        <v>6</v>
      </c>
      <c r="L81">
        <v>92306</v>
      </c>
      <c r="M81">
        <v>197416</v>
      </c>
    </row>
    <row r="82" spans="10:13" x14ac:dyDescent="0.3">
      <c r="J82">
        <v>2014</v>
      </c>
      <c r="K82" t="s">
        <v>13</v>
      </c>
      <c r="L82">
        <v>58533</v>
      </c>
      <c r="M82">
        <v>197453</v>
      </c>
    </row>
    <row r="83" spans="10:13" x14ac:dyDescent="0.3">
      <c r="J83">
        <v>2014</v>
      </c>
      <c r="K83" t="s">
        <v>7</v>
      </c>
      <c r="L83">
        <v>113605</v>
      </c>
      <c r="M83">
        <v>258048</v>
      </c>
    </row>
    <row r="84" spans="10:13" x14ac:dyDescent="0.3">
      <c r="J84">
        <v>2014</v>
      </c>
      <c r="K84" t="s">
        <v>4</v>
      </c>
      <c r="L84">
        <v>258867</v>
      </c>
      <c r="M84">
        <v>359875</v>
      </c>
    </row>
    <row r="85" spans="10:13" x14ac:dyDescent="0.3">
      <c r="J85">
        <v>2014</v>
      </c>
      <c r="K85" t="s">
        <v>5</v>
      </c>
      <c r="L85">
        <v>137260</v>
      </c>
      <c r="M85">
        <v>363807</v>
      </c>
    </row>
    <row r="86" spans="10:13" x14ac:dyDescent="0.3">
      <c r="J86">
        <v>2014</v>
      </c>
      <c r="K86" t="s">
        <v>3</v>
      </c>
      <c r="L86">
        <v>244358</v>
      </c>
      <c r="M86">
        <v>518229</v>
      </c>
    </row>
    <row r="87" spans="10:13" x14ac:dyDescent="0.3">
      <c r="J87">
        <v>2014</v>
      </c>
      <c r="K87" t="s">
        <v>2</v>
      </c>
      <c r="L87">
        <v>302118</v>
      </c>
      <c r="M87">
        <v>761012</v>
      </c>
    </row>
    <row r="88" spans="10:13" x14ac:dyDescent="0.3">
      <c r="J88">
        <v>2015</v>
      </c>
      <c r="K88" t="s">
        <v>11</v>
      </c>
      <c r="L88">
        <v>55636</v>
      </c>
      <c r="M88">
        <v>115789</v>
      </c>
    </row>
    <row r="89" spans="10:13" x14ac:dyDescent="0.3">
      <c r="J89">
        <v>2015</v>
      </c>
      <c r="K89" t="s">
        <v>12</v>
      </c>
      <c r="L89">
        <v>74532</v>
      </c>
      <c r="M89">
        <v>155518</v>
      </c>
    </row>
    <row r="90" spans="10:13" x14ac:dyDescent="0.3">
      <c r="J90">
        <v>2015</v>
      </c>
      <c r="K90" t="s">
        <v>14</v>
      </c>
      <c r="L90">
        <v>25890</v>
      </c>
      <c r="M90">
        <v>163604</v>
      </c>
    </row>
    <row r="91" spans="10:13" x14ac:dyDescent="0.3">
      <c r="J91">
        <v>2015</v>
      </c>
      <c r="K91" t="s">
        <v>13</v>
      </c>
      <c r="L91">
        <v>45098</v>
      </c>
      <c r="M91">
        <v>194182</v>
      </c>
    </row>
    <row r="92" spans="10:13" x14ac:dyDescent="0.3">
      <c r="J92">
        <v>2015</v>
      </c>
      <c r="K92" t="s">
        <v>6</v>
      </c>
      <c r="L92">
        <v>87261</v>
      </c>
      <c r="M92">
        <v>231232</v>
      </c>
    </row>
    <row r="93" spans="10:13" x14ac:dyDescent="0.3">
      <c r="J93">
        <v>2015</v>
      </c>
      <c r="K93" t="s">
        <v>7</v>
      </c>
      <c r="L93">
        <v>93816</v>
      </c>
      <c r="M93">
        <v>268480</v>
      </c>
    </row>
    <row r="94" spans="10:13" x14ac:dyDescent="0.3">
      <c r="J94">
        <v>2015</v>
      </c>
      <c r="K94" t="s">
        <v>4</v>
      </c>
      <c r="L94">
        <v>258143</v>
      </c>
      <c r="M94">
        <v>396310</v>
      </c>
    </row>
    <row r="95" spans="10:13" x14ac:dyDescent="0.3">
      <c r="J95">
        <v>2015</v>
      </c>
      <c r="K95" t="s">
        <v>5</v>
      </c>
      <c r="L95">
        <v>129333</v>
      </c>
      <c r="M95">
        <v>399450</v>
      </c>
    </row>
    <row r="96" spans="10:13" x14ac:dyDescent="0.3">
      <c r="J96">
        <v>2015</v>
      </c>
      <c r="K96" t="s">
        <v>3</v>
      </c>
      <c r="L96">
        <v>225553</v>
      </c>
      <c r="M96">
        <v>587861</v>
      </c>
    </row>
    <row r="97" spans="10:13" x14ac:dyDescent="0.3">
      <c r="J97">
        <v>2015</v>
      </c>
      <c r="K97" t="s">
        <v>2</v>
      </c>
      <c r="L97">
        <v>266851</v>
      </c>
      <c r="M97">
        <v>837457</v>
      </c>
    </row>
    <row r="98" spans="10:13" x14ac:dyDescent="0.3">
      <c r="J98">
        <v>2016</v>
      </c>
      <c r="K98" t="s">
        <v>11</v>
      </c>
      <c r="L98">
        <v>57882</v>
      </c>
      <c r="M98">
        <v>181438</v>
      </c>
    </row>
    <row r="99" spans="10:13" x14ac:dyDescent="0.3">
      <c r="J99">
        <v>2016</v>
      </c>
      <c r="K99" t="s">
        <v>12</v>
      </c>
      <c r="L99">
        <v>89460</v>
      </c>
      <c r="M99">
        <v>196473</v>
      </c>
    </row>
    <row r="100" spans="10:13" x14ac:dyDescent="0.3">
      <c r="J100">
        <v>2016</v>
      </c>
      <c r="K100" t="s">
        <v>13</v>
      </c>
      <c r="L100">
        <v>46499</v>
      </c>
      <c r="M100">
        <v>227303</v>
      </c>
    </row>
    <row r="101" spans="10:13" x14ac:dyDescent="0.3">
      <c r="J101">
        <v>2016</v>
      </c>
      <c r="K101" t="s">
        <v>14</v>
      </c>
      <c r="L101">
        <v>29750</v>
      </c>
      <c r="M101">
        <v>240821</v>
      </c>
    </row>
    <row r="102" spans="10:13" x14ac:dyDescent="0.3">
      <c r="J102">
        <v>2016</v>
      </c>
      <c r="K102" t="s">
        <v>6</v>
      </c>
      <c r="L102">
        <v>98533</v>
      </c>
      <c r="M102">
        <v>328866</v>
      </c>
    </row>
    <row r="103" spans="10:13" x14ac:dyDescent="0.3">
      <c r="J103">
        <v>2016</v>
      </c>
      <c r="K103" t="s">
        <v>7</v>
      </c>
      <c r="L103">
        <v>92744</v>
      </c>
      <c r="M103">
        <v>341978</v>
      </c>
    </row>
    <row r="104" spans="10:13" x14ac:dyDescent="0.3">
      <c r="J104">
        <v>2016</v>
      </c>
      <c r="K104" t="s">
        <v>4</v>
      </c>
      <c r="L104">
        <v>255128</v>
      </c>
      <c r="M104">
        <v>413835</v>
      </c>
    </row>
    <row r="105" spans="10:13" x14ac:dyDescent="0.3">
      <c r="J105">
        <v>2016</v>
      </c>
      <c r="K105" t="s">
        <v>5</v>
      </c>
      <c r="L105">
        <v>137522</v>
      </c>
      <c r="M105">
        <v>459511</v>
      </c>
    </row>
    <row r="106" spans="10:13" x14ac:dyDescent="0.3">
      <c r="J106">
        <v>2016</v>
      </c>
      <c r="K106" t="s">
        <v>3</v>
      </c>
      <c r="L106">
        <v>261517</v>
      </c>
      <c r="M106">
        <v>652192</v>
      </c>
    </row>
    <row r="107" spans="10:13" x14ac:dyDescent="0.3">
      <c r="J107">
        <v>2016</v>
      </c>
      <c r="K107" t="s">
        <v>2</v>
      </c>
      <c r="L107">
        <v>261913</v>
      </c>
      <c r="M107">
        <v>944993</v>
      </c>
    </row>
    <row r="108" spans="10:13" x14ac:dyDescent="0.3">
      <c r="J108">
        <v>2017</v>
      </c>
      <c r="K108" t="s">
        <v>12</v>
      </c>
      <c r="L108">
        <v>72043</v>
      </c>
      <c r="M108">
        <v>184931</v>
      </c>
    </row>
    <row r="109" spans="10:13" x14ac:dyDescent="0.3">
      <c r="J109">
        <v>2017</v>
      </c>
      <c r="K109" t="s">
        <v>14</v>
      </c>
      <c r="L109">
        <v>36673</v>
      </c>
      <c r="M109">
        <v>212091</v>
      </c>
    </row>
    <row r="110" spans="10:13" x14ac:dyDescent="0.3">
      <c r="J110">
        <v>2017</v>
      </c>
      <c r="K110" t="s">
        <v>13</v>
      </c>
      <c r="L110">
        <v>50247</v>
      </c>
      <c r="M110">
        <v>229710</v>
      </c>
    </row>
    <row r="111" spans="10:13" x14ac:dyDescent="0.3">
      <c r="J111">
        <v>2017</v>
      </c>
      <c r="K111" t="s">
        <v>11</v>
      </c>
      <c r="L111">
        <v>83466</v>
      </c>
      <c r="M111">
        <v>255963</v>
      </c>
    </row>
    <row r="112" spans="10:13" x14ac:dyDescent="0.3">
      <c r="J112">
        <v>2017</v>
      </c>
      <c r="K112" t="s">
        <v>6</v>
      </c>
      <c r="L112">
        <v>113818</v>
      </c>
      <c r="M112">
        <v>313103</v>
      </c>
    </row>
    <row r="113" spans="10:13" x14ac:dyDescent="0.3">
      <c r="J113">
        <v>2017</v>
      </c>
      <c r="K113" t="s">
        <v>7</v>
      </c>
      <c r="L113">
        <v>99834</v>
      </c>
      <c r="M113">
        <v>332688</v>
      </c>
    </row>
    <row r="114" spans="10:13" x14ac:dyDescent="0.3">
      <c r="J114">
        <v>2017</v>
      </c>
      <c r="K114" t="s">
        <v>4</v>
      </c>
      <c r="L114">
        <v>265493</v>
      </c>
      <c r="M114">
        <v>409750</v>
      </c>
    </row>
    <row r="115" spans="10:13" x14ac:dyDescent="0.3">
      <c r="J115">
        <v>2017</v>
      </c>
      <c r="K115" t="s">
        <v>5</v>
      </c>
      <c r="L115">
        <v>148706</v>
      </c>
      <c r="M115">
        <v>467183</v>
      </c>
    </row>
    <row r="116" spans="10:13" x14ac:dyDescent="0.3">
      <c r="J116">
        <v>2017</v>
      </c>
      <c r="K116" t="s">
        <v>3</v>
      </c>
      <c r="L116">
        <v>291787</v>
      </c>
      <c r="M116">
        <v>702060</v>
      </c>
    </row>
    <row r="117" spans="10:13" x14ac:dyDescent="0.3">
      <c r="J117">
        <v>2017</v>
      </c>
      <c r="K117" t="s">
        <v>2</v>
      </c>
      <c r="L117">
        <v>265424</v>
      </c>
      <c r="M117">
        <v>949533</v>
      </c>
    </row>
    <row r="118" spans="10:13" x14ac:dyDescent="0.3">
      <c r="J118">
        <v>2018</v>
      </c>
      <c r="K118" t="s">
        <v>14</v>
      </c>
      <c r="L118">
        <v>41762</v>
      </c>
      <c r="M118">
        <v>242883</v>
      </c>
    </row>
    <row r="119" spans="10:13" x14ac:dyDescent="0.3">
      <c r="J119">
        <v>2018</v>
      </c>
      <c r="K119" t="s">
        <v>12</v>
      </c>
      <c r="L119">
        <v>69400</v>
      </c>
      <c r="M119">
        <v>243628</v>
      </c>
    </row>
    <row r="120" spans="10:13" x14ac:dyDescent="0.3">
      <c r="J120">
        <v>2018</v>
      </c>
      <c r="K120" t="s">
        <v>13</v>
      </c>
      <c r="L120">
        <v>58755</v>
      </c>
      <c r="M120">
        <v>304597</v>
      </c>
    </row>
    <row r="121" spans="10:13" x14ac:dyDescent="0.3">
      <c r="J121">
        <v>2018</v>
      </c>
      <c r="K121" t="s">
        <v>6</v>
      </c>
      <c r="L121">
        <v>124955</v>
      </c>
      <c r="M121">
        <v>324640</v>
      </c>
    </row>
    <row r="122" spans="10:13" x14ac:dyDescent="0.3">
      <c r="J122">
        <v>2018</v>
      </c>
      <c r="K122" t="s">
        <v>11</v>
      </c>
      <c r="L122">
        <v>113334</v>
      </c>
      <c r="M122">
        <v>331997</v>
      </c>
    </row>
    <row r="123" spans="10:13" x14ac:dyDescent="0.3">
      <c r="J123">
        <v>2018</v>
      </c>
      <c r="K123" t="s">
        <v>7</v>
      </c>
      <c r="L123">
        <v>112881</v>
      </c>
      <c r="M123">
        <v>415857</v>
      </c>
    </row>
    <row r="124" spans="10:13" x14ac:dyDescent="0.3">
      <c r="J124">
        <v>2018</v>
      </c>
      <c r="K124" t="s">
        <v>4</v>
      </c>
      <c r="L124">
        <v>252144</v>
      </c>
      <c r="M124">
        <v>471643</v>
      </c>
    </row>
    <row r="125" spans="10:13" x14ac:dyDescent="0.3">
      <c r="J125">
        <v>2018</v>
      </c>
      <c r="K125" t="s">
        <v>5</v>
      </c>
      <c r="L125">
        <v>155385</v>
      </c>
      <c r="M125">
        <v>595250</v>
      </c>
    </row>
    <row r="126" spans="10:13" x14ac:dyDescent="0.3">
      <c r="J126">
        <v>2018</v>
      </c>
      <c r="K126" t="s">
        <v>3</v>
      </c>
      <c r="L126">
        <v>345134</v>
      </c>
      <c r="M126">
        <v>863196</v>
      </c>
    </row>
    <row r="127" spans="10:13" x14ac:dyDescent="0.3">
      <c r="J127">
        <v>2018</v>
      </c>
      <c r="K127" t="s">
        <v>2</v>
      </c>
      <c r="L127">
        <v>284541</v>
      </c>
      <c r="M127">
        <v>1045311</v>
      </c>
    </row>
    <row r="128" spans="10:13" x14ac:dyDescent="0.3">
      <c r="J128">
        <v>2019</v>
      </c>
      <c r="K128" t="s">
        <v>12</v>
      </c>
      <c r="L128">
        <v>62326</v>
      </c>
      <c r="M128">
        <v>292127</v>
      </c>
    </row>
    <row r="129" spans="10:13" x14ac:dyDescent="0.3">
      <c r="J129">
        <v>2019</v>
      </c>
      <c r="K129" t="s">
        <v>14</v>
      </c>
      <c r="L129">
        <v>47173</v>
      </c>
      <c r="M129">
        <v>300478</v>
      </c>
    </row>
    <row r="130" spans="10:13" x14ac:dyDescent="0.3">
      <c r="J130">
        <v>2019</v>
      </c>
      <c r="K130" t="s">
        <v>13</v>
      </c>
      <c r="L130">
        <v>62872</v>
      </c>
      <c r="M130">
        <v>337104</v>
      </c>
    </row>
    <row r="131" spans="10:13" x14ac:dyDescent="0.3">
      <c r="J131">
        <v>2019</v>
      </c>
      <c r="K131" t="s">
        <v>6</v>
      </c>
      <c r="L131">
        <v>138449</v>
      </c>
      <c r="M131">
        <v>341283</v>
      </c>
    </row>
    <row r="132" spans="10:13" x14ac:dyDescent="0.3">
      <c r="J132">
        <v>2019</v>
      </c>
      <c r="K132" t="s">
        <v>11</v>
      </c>
      <c r="L132">
        <v>127380</v>
      </c>
      <c r="M132">
        <v>352654</v>
      </c>
    </row>
    <row r="133" spans="10:13" x14ac:dyDescent="0.3">
      <c r="J133">
        <v>2019</v>
      </c>
      <c r="K133" t="s">
        <v>7</v>
      </c>
      <c r="L133">
        <v>127297</v>
      </c>
      <c r="M133">
        <v>437083</v>
      </c>
    </row>
    <row r="134" spans="10:13" x14ac:dyDescent="0.3">
      <c r="J134">
        <v>2019</v>
      </c>
      <c r="K134" t="s">
        <v>4</v>
      </c>
      <c r="L134">
        <v>254867</v>
      </c>
      <c r="M134">
        <v>492372</v>
      </c>
    </row>
    <row r="135" spans="10:13" x14ac:dyDescent="0.3">
      <c r="J135">
        <v>2019</v>
      </c>
      <c r="K135" t="s">
        <v>5</v>
      </c>
      <c r="L135">
        <v>155259</v>
      </c>
      <c r="M135">
        <v>671912</v>
      </c>
    </row>
    <row r="136" spans="10:13" x14ac:dyDescent="0.3">
      <c r="J136">
        <v>2019</v>
      </c>
      <c r="K136" t="s">
        <v>3</v>
      </c>
      <c r="L136">
        <v>378078</v>
      </c>
      <c r="M136">
        <v>910462</v>
      </c>
    </row>
    <row r="137" spans="10:13" x14ac:dyDescent="0.3">
      <c r="J137">
        <v>2019</v>
      </c>
      <c r="K137" t="s">
        <v>2</v>
      </c>
      <c r="L137">
        <v>298003</v>
      </c>
      <c r="M137">
        <v>1032393</v>
      </c>
    </row>
    <row r="138" spans="10:13" x14ac:dyDescent="0.3">
      <c r="J138">
        <v>2020</v>
      </c>
      <c r="K138" t="s">
        <v>12</v>
      </c>
      <c r="L138">
        <v>54890</v>
      </c>
      <c r="M138">
        <v>317969</v>
      </c>
    </row>
    <row r="139" spans="10:13" x14ac:dyDescent="0.3">
      <c r="J139">
        <v>2020</v>
      </c>
      <c r="K139" t="s">
        <v>14</v>
      </c>
      <c r="L139">
        <v>61011</v>
      </c>
      <c r="M139">
        <v>345664</v>
      </c>
    </row>
    <row r="140" spans="10:13" x14ac:dyDescent="0.3">
      <c r="J140">
        <v>2020</v>
      </c>
      <c r="K140" t="s">
        <v>6</v>
      </c>
      <c r="L140">
        <v>138016</v>
      </c>
      <c r="M140">
        <v>370047</v>
      </c>
    </row>
    <row r="141" spans="10:13" x14ac:dyDescent="0.3">
      <c r="J141">
        <v>2020</v>
      </c>
      <c r="K141" t="s">
        <v>13</v>
      </c>
      <c r="L141">
        <v>73510</v>
      </c>
      <c r="M141">
        <v>387575</v>
      </c>
    </row>
    <row r="142" spans="10:13" x14ac:dyDescent="0.3">
      <c r="J142">
        <v>2020</v>
      </c>
      <c r="K142" t="s">
        <v>11</v>
      </c>
      <c r="L142">
        <v>119381</v>
      </c>
      <c r="M142">
        <v>415271</v>
      </c>
    </row>
    <row r="143" spans="10:13" x14ac:dyDescent="0.3">
      <c r="J143">
        <v>2020</v>
      </c>
      <c r="K143" t="s">
        <v>4</v>
      </c>
      <c r="L143">
        <v>221614</v>
      </c>
      <c r="M143">
        <v>507146</v>
      </c>
    </row>
    <row r="144" spans="10:13" x14ac:dyDescent="0.3">
      <c r="J144">
        <v>2020</v>
      </c>
      <c r="K144" t="s">
        <v>7</v>
      </c>
      <c r="L144">
        <v>132916</v>
      </c>
      <c r="M144">
        <v>621622</v>
      </c>
    </row>
    <row r="145" spans="10:13" x14ac:dyDescent="0.3">
      <c r="J145">
        <v>2020</v>
      </c>
      <c r="K145" t="s">
        <v>5</v>
      </c>
      <c r="L145">
        <v>150450</v>
      </c>
      <c r="M145">
        <v>693671</v>
      </c>
    </row>
    <row r="146" spans="10:13" x14ac:dyDescent="0.3">
      <c r="J146">
        <v>2020</v>
      </c>
      <c r="K146" t="s">
        <v>3</v>
      </c>
      <c r="L146">
        <v>338419</v>
      </c>
      <c r="M146">
        <v>999847</v>
      </c>
    </row>
    <row r="147" spans="10:13" x14ac:dyDescent="0.3">
      <c r="J147">
        <v>2020</v>
      </c>
      <c r="K147" t="s">
        <v>2</v>
      </c>
      <c r="L147">
        <v>281469</v>
      </c>
      <c r="M147">
        <v>1094932</v>
      </c>
    </row>
    <row r="148" spans="10:13" x14ac:dyDescent="0.3">
      <c r="J148">
        <v>2021</v>
      </c>
      <c r="K148" t="s">
        <v>12</v>
      </c>
      <c r="L148">
        <v>47277</v>
      </c>
      <c r="M148">
        <v>316133</v>
      </c>
    </row>
    <row r="149" spans="10:13" x14ac:dyDescent="0.3">
      <c r="J149">
        <v>2021</v>
      </c>
      <c r="K149" t="s">
        <v>6</v>
      </c>
      <c r="L149">
        <v>182365</v>
      </c>
      <c r="M149">
        <v>425744</v>
      </c>
    </row>
    <row r="150" spans="10:13" x14ac:dyDescent="0.3">
      <c r="J150">
        <v>2021</v>
      </c>
      <c r="K150" t="s">
        <v>13</v>
      </c>
      <c r="L150">
        <v>85020</v>
      </c>
      <c r="M150">
        <v>430536</v>
      </c>
    </row>
    <row r="151" spans="10:13" x14ac:dyDescent="0.3">
      <c r="J151">
        <v>2021</v>
      </c>
      <c r="K151" t="s">
        <v>14</v>
      </c>
      <c r="L151">
        <v>72568</v>
      </c>
      <c r="M151">
        <v>439476</v>
      </c>
    </row>
    <row r="152" spans="10:13" x14ac:dyDescent="0.3">
      <c r="J152">
        <v>2021</v>
      </c>
      <c r="K152" t="s">
        <v>4</v>
      </c>
      <c r="L152">
        <v>195968</v>
      </c>
      <c r="M152">
        <v>503352</v>
      </c>
    </row>
    <row r="153" spans="10:13" x14ac:dyDescent="0.3">
      <c r="J153">
        <v>2021</v>
      </c>
      <c r="K153" t="s">
        <v>11</v>
      </c>
      <c r="L153">
        <v>110418</v>
      </c>
      <c r="M153">
        <v>517918</v>
      </c>
    </row>
    <row r="154" spans="10:13" x14ac:dyDescent="0.3">
      <c r="J154">
        <v>2021</v>
      </c>
      <c r="K154" t="s">
        <v>7</v>
      </c>
      <c r="L154">
        <v>145787</v>
      </c>
      <c r="M154">
        <v>696888</v>
      </c>
    </row>
    <row r="155" spans="10:13" x14ac:dyDescent="0.3">
      <c r="J155">
        <v>2021</v>
      </c>
      <c r="K155" t="s">
        <v>5</v>
      </c>
      <c r="L155">
        <v>143382</v>
      </c>
      <c r="M155">
        <v>732753</v>
      </c>
    </row>
    <row r="156" spans="10:13" x14ac:dyDescent="0.3">
      <c r="J156">
        <v>2021</v>
      </c>
      <c r="K156" t="s">
        <v>3</v>
      </c>
      <c r="L156">
        <v>284306</v>
      </c>
      <c r="M156">
        <v>983125</v>
      </c>
    </row>
    <row r="157" spans="10:13" x14ac:dyDescent="0.3">
      <c r="J157">
        <v>2021</v>
      </c>
      <c r="K157" t="s">
        <v>2</v>
      </c>
      <c r="L157">
        <v>284096</v>
      </c>
      <c r="M157">
        <v>1079007</v>
      </c>
    </row>
    <row r="158" spans="10:13" x14ac:dyDescent="0.3">
      <c r="J158">
        <v>2022</v>
      </c>
      <c r="K158" t="s">
        <v>12</v>
      </c>
      <c r="L158">
        <v>57883</v>
      </c>
      <c r="M158">
        <v>331541</v>
      </c>
    </row>
    <row r="159" spans="10:13" x14ac:dyDescent="0.3">
      <c r="J159">
        <v>2022</v>
      </c>
      <c r="K159" t="s">
        <v>13</v>
      </c>
      <c r="L159">
        <v>94917</v>
      </c>
      <c r="M159">
        <v>420501</v>
      </c>
    </row>
    <row r="160" spans="10:13" x14ac:dyDescent="0.3">
      <c r="J160">
        <v>2022</v>
      </c>
      <c r="K160" t="s">
        <v>14</v>
      </c>
      <c r="L160">
        <v>79669</v>
      </c>
      <c r="M160">
        <v>466051</v>
      </c>
    </row>
    <row r="161" spans="10:13" x14ac:dyDescent="0.3">
      <c r="J161">
        <v>2022</v>
      </c>
      <c r="K161" t="s">
        <v>11</v>
      </c>
      <c r="L161">
        <v>130055</v>
      </c>
      <c r="M161">
        <v>469697</v>
      </c>
    </row>
    <row r="162" spans="10:13" x14ac:dyDescent="0.3">
      <c r="J162">
        <v>2022</v>
      </c>
      <c r="K162" t="s">
        <v>6</v>
      </c>
      <c r="L162">
        <v>241283</v>
      </c>
      <c r="M162">
        <v>498027</v>
      </c>
    </row>
    <row r="163" spans="10:13" x14ac:dyDescent="0.3">
      <c r="J163">
        <v>2022</v>
      </c>
      <c r="K163" t="s">
        <v>4</v>
      </c>
      <c r="L163">
        <v>223571</v>
      </c>
      <c r="M163">
        <v>506092</v>
      </c>
    </row>
    <row r="164" spans="10:13" x14ac:dyDescent="0.3">
      <c r="J164">
        <v>2022</v>
      </c>
      <c r="K164" t="s">
        <v>7</v>
      </c>
      <c r="L164">
        <v>159861</v>
      </c>
      <c r="M164">
        <v>702322</v>
      </c>
    </row>
    <row r="165" spans="10:13" x14ac:dyDescent="0.3">
      <c r="J165">
        <v>2022</v>
      </c>
      <c r="K165" t="s">
        <v>5</v>
      </c>
      <c r="L165">
        <v>156773</v>
      </c>
      <c r="M165">
        <v>723514</v>
      </c>
    </row>
    <row r="166" spans="10:13" x14ac:dyDescent="0.3">
      <c r="J166">
        <v>2022</v>
      </c>
      <c r="K166" t="s">
        <v>3</v>
      </c>
      <c r="L166">
        <v>420436</v>
      </c>
      <c r="M166">
        <v>1035775</v>
      </c>
    </row>
    <row r="167" spans="10:13" x14ac:dyDescent="0.3">
      <c r="J167">
        <v>2022</v>
      </c>
      <c r="K167" t="s">
        <v>2</v>
      </c>
      <c r="L167">
        <v>342334</v>
      </c>
      <c r="M167">
        <v>1069076</v>
      </c>
    </row>
    <row r="342" spans="6:6" x14ac:dyDescent="0.3">
      <c r="F342" s="1"/>
    </row>
  </sheetData>
  <autoFilter ref="B40:C52" xr:uid="{87CD9341-6BA2-4E18-B8E6-4B42C975061D}">
    <sortState xmlns:xlrd2="http://schemas.microsoft.com/office/spreadsheetml/2017/richdata2" ref="B41:C52">
      <sortCondition ref="C40:C52"/>
    </sortState>
  </autoFilter>
  <mergeCells count="4">
    <mergeCell ref="B1:E1"/>
    <mergeCell ref="B14:E14"/>
    <mergeCell ref="B27:E27"/>
    <mergeCell ref="I3:L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Dashbord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OLIVEIRA SOUZA</dc:creator>
  <cp:lastModifiedBy>EDEN OLIVEIRA SOUZA</cp:lastModifiedBy>
  <dcterms:created xsi:type="dcterms:W3CDTF">2024-01-28T17:49:51Z</dcterms:created>
  <dcterms:modified xsi:type="dcterms:W3CDTF">2024-09-09T23:11:58Z</dcterms:modified>
</cp:coreProperties>
</file>