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s\Desktop\Consulta_SQL\Query\"/>
    </mc:Choice>
  </mc:AlternateContent>
  <xr:revisionPtr revIDLastSave="0" documentId="13_ncr:1_{72DB74A5-93EE-4EED-AFB3-0EC03B66695C}" xr6:coauthVersionLast="47" xr6:coauthVersionMax="47" xr10:uidLastSave="{00000000-0000-0000-0000-000000000000}"/>
  <bookViews>
    <workbookView xWindow="-104" yWindow="-104" windowWidth="22326" windowHeight="11947" xr2:uid="{2E1BAC7A-84E7-4C0D-9A7C-A5857961BEA8}"/>
  </bookViews>
  <sheets>
    <sheet name="Dashbord" sheetId="2" r:id="rId1"/>
    <sheet name="Dados" sheetId="1" state="hidden" r:id="rId2"/>
  </sheets>
  <definedNames>
    <definedName name="_xlnm._FilterDatabase" localSheetId="1" hidden="1">Dados!$B$54:$H$54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J4" i="1"/>
  <c r="AK4" i="1"/>
  <c r="AL4" i="1"/>
  <c r="AM4" i="1"/>
  <c r="AN4" i="1"/>
  <c r="AO4" i="1"/>
  <c r="AP4" i="1"/>
  <c r="AQ4" i="1"/>
  <c r="AR4" i="1"/>
  <c r="AS4" i="1"/>
  <c r="AT4" i="1"/>
  <c r="AH5" i="1"/>
  <c r="E38" i="1"/>
  <c r="E37" i="1"/>
  <c r="E36" i="1"/>
  <c r="E35" i="1"/>
  <c r="E34" i="1"/>
  <c r="E33" i="1"/>
  <c r="E32" i="1"/>
  <c r="E31" i="1"/>
  <c r="E30" i="1"/>
  <c r="E29" i="1"/>
  <c r="D38" i="1"/>
  <c r="D37" i="1"/>
  <c r="D36" i="1"/>
  <c r="D35" i="1"/>
  <c r="D34" i="1"/>
  <c r="D33" i="1"/>
  <c r="D32" i="1"/>
  <c r="D31" i="1"/>
  <c r="D30" i="1"/>
  <c r="D29" i="1"/>
  <c r="C38" i="1"/>
  <c r="C37" i="1"/>
  <c r="C36" i="1"/>
  <c r="C35" i="1"/>
  <c r="C34" i="1"/>
  <c r="C33" i="1"/>
  <c r="C32" i="1"/>
  <c r="C31" i="1"/>
  <c r="C30" i="1"/>
  <c r="C29" i="1"/>
  <c r="E25" i="1"/>
  <c r="E24" i="1"/>
  <c r="E23" i="1"/>
  <c r="E22" i="1"/>
  <c r="E21" i="1"/>
  <c r="E20" i="1"/>
  <c r="E19" i="1"/>
  <c r="E18" i="1"/>
  <c r="E17" i="1"/>
  <c r="E16" i="1"/>
  <c r="D25" i="1"/>
  <c r="D24" i="1"/>
  <c r="D23" i="1"/>
  <c r="D22" i="1"/>
  <c r="D21" i="1"/>
  <c r="D20" i="1"/>
  <c r="D19" i="1"/>
  <c r="D18" i="1"/>
  <c r="D17" i="1"/>
  <c r="D16" i="1"/>
  <c r="C25" i="1"/>
  <c r="C24" i="1"/>
  <c r="C23" i="1"/>
  <c r="C22" i="1"/>
  <c r="C21" i="1"/>
  <c r="C20" i="1"/>
  <c r="C19" i="1"/>
  <c r="C18" i="1"/>
  <c r="C17" i="1"/>
  <c r="C16" i="1"/>
  <c r="E12" i="1"/>
  <c r="E11" i="1"/>
  <c r="E10" i="1"/>
  <c r="E9" i="1"/>
  <c r="E8" i="1"/>
  <c r="E7" i="1"/>
  <c r="E6" i="1"/>
  <c r="E5" i="1"/>
  <c r="E4" i="1"/>
  <c r="E3" i="1"/>
  <c r="D12" i="1"/>
  <c r="D11" i="1"/>
  <c r="D10" i="1"/>
  <c r="D9" i="1"/>
  <c r="D8" i="1"/>
  <c r="D7" i="1"/>
  <c r="D6" i="1"/>
  <c r="D5" i="1"/>
  <c r="D4" i="1"/>
  <c r="D3" i="1"/>
  <c r="C12" i="1"/>
  <c r="C11" i="1"/>
  <c r="C10" i="1"/>
  <c r="C9" i="1"/>
  <c r="C8" i="1"/>
  <c r="C7" i="1"/>
  <c r="C6" i="1"/>
  <c r="C5" i="1"/>
  <c r="C4" i="1"/>
  <c r="C3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I5" i="1"/>
  <c r="AJ5" i="1"/>
  <c r="AK5" i="1"/>
  <c r="AL5" i="1"/>
  <c r="AM5" i="1"/>
  <c r="AN5" i="1"/>
  <c r="AO5" i="1"/>
  <c r="AP5" i="1"/>
  <c r="AQ5" i="1"/>
  <c r="AR5" i="1"/>
  <c r="AS5" i="1"/>
  <c r="AT5" i="1"/>
  <c r="AI6" i="1"/>
  <c r="AJ6" i="1"/>
  <c r="AK6" i="1"/>
  <c r="AL6" i="1"/>
  <c r="AM6" i="1"/>
  <c r="AN6" i="1"/>
  <c r="AO6" i="1"/>
  <c r="AP6" i="1"/>
  <c r="AQ6" i="1"/>
  <c r="AR6" i="1"/>
  <c r="AS6" i="1"/>
  <c r="AT6" i="1"/>
  <c r="AI7" i="1"/>
  <c r="AJ7" i="1"/>
  <c r="AK7" i="1"/>
  <c r="AL7" i="1"/>
  <c r="AM7" i="1"/>
  <c r="AN7" i="1"/>
  <c r="AO7" i="1"/>
  <c r="AP7" i="1"/>
  <c r="AQ7" i="1"/>
  <c r="AR7" i="1"/>
  <c r="AS7" i="1"/>
  <c r="AT7" i="1"/>
  <c r="AI8" i="1"/>
  <c r="AJ8" i="1"/>
  <c r="AK8" i="1"/>
  <c r="AL8" i="1"/>
  <c r="AM8" i="1"/>
  <c r="AN8" i="1"/>
  <c r="AO8" i="1"/>
  <c r="AP8" i="1"/>
  <c r="AQ8" i="1"/>
  <c r="AR8" i="1"/>
  <c r="AS8" i="1"/>
  <c r="AT8" i="1"/>
  <c r="AI9" i="1"/>
  <c r="AJ9" i="1"/>
  <c r="AK9" i="1"/>
  <c r="AL9" i="1"/>
  <c r="AM9" i="1"/>
  <c r="AN9" i="1"/>
  <c r="AO9" i="1"/>
  <c r="AP9" i="1"/>
  <c r="AQ9" i="1"/>
  <c r="AR9" i="1"/>
  <c r="AS9" i="1"/>
  <c r="AT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H14" i="1"/>
  <c r="AH13" i="1"/>
  <c r="AH12" i="1"/>
  <c r="AH11" i="1"/>
  <c r="AH10" i="1"/>
  <c r="AH9" i="1"/>
  <c r="AH8" i="1"/>
  <c r="AH7" i="1"/>
  <c r="AH6" i="1"/>
  <c r="AH4" i="1"/>
  <c r="AI3" i="1"/>
  <c r="AJ3" i="1"/>
  <c r="AK3" i="1"/>
  <c r="AL3" i="1"/>
  <c r="AM3" i="1"/>
  <c r="AN3" i="1"/>
  <c r="AO3" i="1"/>
  <c r="AP3" i="1"/>
  <c r="AQ3" i="1"/>
  <c r="AR3" i="1"/>
  <c r="AS3" i="1"/>
  <c r="AT3" i="1"/>
  <c r="AH3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Z28" i="1"/>
  <c r="Z27" i="1"/>
  <c r="Z26" i="1"/>
  <c r="Z25" i="1"/>
  <c r="Z24" i="1"/>
  <c r="Z23" i="1"/>
  <c r="Z22" i="1"/>
  <c r="Z21" i="1"/>
  <c r="Z20" i="1"/>
  <c r="Z19" i="1"/>
  <c r="Z18" i="1"/>
  <c r="Z17" i="1"/>
  <c r="Y28" i="1"/>
  <c r="Y27" i="1"/>
  <c r="Y26" i="1"/>
  <c r="Y25" i="1"/>
  <c r="Y24" i="1"/>
  <c r="Y23" i="1"/>
  <c r="Y22" i="1"/>
  <c r="Y21" i="1"/>
  <c r="Y20" i="1"/>
  <c r="Y19" i="1"/>
  <c r="Y18" i="1"/>
  <c r="Y17" i="1"/>
  <c r="X28" i="1"/>
  <c r="X27" i="1"/>
  <c r="X26" i="1"/>
  <c r="X25" i="1"/>
  <c r="X24" i="1"/>
  <c r="X23" i="1"/>
  <c r="X22" i="1"/>
  <c r="X21" i="1"/>
  <c r="X20" i="1"/>
  <c r="X19" i="1"/>
  <c r="X18" i="1"/>
  <c r="X17" i="1"/>
  <c r="W28" i="1"/>
  <c r="W27" i="1"/>
  <c r="W26" i="1"/>
  <c r="W25" i="1"/>
  <c r="W24" i="1"/>
  <c r="W23" i="1"/>
  <c r="W22" i="1"/>
  <c r="W21" i="1"/>
  <c r="W20" i="1"/>
  <c r="W19" i="1"/>
  <c r="W18" i="1"/>
  <c r="W17" i="1"/>
  <c r="V28" i="1"/>
  <c r="V27" i="1"/>
  <c r="V26" i="1"/>
  <c r="V25" i="1"/>
  <c r="V24" i="1"/>
  <c r="V23" i="1"/>
  <c r="V22" i="1"/>
  <c r="V21" i="1"/>
  <c r="V20" i="1"/>
  <c r="V19" i="1"/>
  <c r="V18" i="1"/>
  <c r="V17" i="1"/>
  <c r="U28" i="1"/>
  <c r="U27" i="1"/>
  <c r="U26" i="1"/>
  <c r="U25" i="1"/>
  <c r="U24" i="1"/>
  <c r="U23" i="1"/>
  <c r="U22" i="1"/>
  <c r="U21" i="1"/>
  <c r="U20" i="1"/>
  <c r="U19" i="1"/>
  <c r="U18" i="1"/>
  <c r="U17" i="1"/>
  <c r="T28" i="1"/>
  <c r="T27" i="1"/>
  <c r="T26" i="1"/>
  <c r="T25" i="1"/>
  <c r="T24" i="1"/>
  <c r="T23" i="1"/>
  <c r="T22" i="1"/>
  <c r="T21" i="1"/>
  <c r="T20" i="1"/>
  <c r="T19" i="1"/>
  <c r="T18" i="1"/>
  <c r="T17" i="1"/>
  <c r="S23" i="1"/>
  <c r="S28" i="1"/>
  <c r="S27" i="1"/>
  <c r="S26" i="1"/>
  <c r="S25" i="1"/>
  <c r="S24" i="1"/>
  <c r="S22" i="1"/>
  <c r="S21" i="1"/>
  <c r="S20" i="1"/>
  <c r="S19" i="1"/>
  <c r="S18" i="1"/>
  <c r="S17" i="1"/>
  <c r="AE14" i="1"/>
  <c r="AE13" i="1"/>
  <c r="AE12" i="1"/>
  <c r="AE11" i="1"/>
  <c r="AE10" i="1"/>
  <c r="AE9" i="1"/>
  <c r="AE8" i="1"/>
  <c r="AE7" i="1"/>
  <c r="AE6" i="1"/>
  <c r="AE5" i="1"/>
  <c r="AE4" i="1"/>
  <c r="AD14" i="1"/>
  <c r="AD13" i="1"/>
  <c r="AD12" i="1"/>
  <c r="AD11" i="1"/>
  <c r="AD10" i="1"/>
  <c r="AD9" i="1"/>
  <c r="AD8" i="1"/>
  <c r="AD7" i="1"/>
  <c r="AD6" i="1"/>
  <c r="AD5" i="1"/>
  <c r="AD4" i="1"/>
  <c r="AC14" i="1"/>
  <c r="AC13" i="1"/>
  <c r="AC12" i="1"/>
  <c r="AC11" i="1"/>
  <c r="AC10" i="1"/>
  <c r="AC9" i="1"/>
  <c r="AC8" i="1"/>
  <c r="AC7" i="1"/>
  <c r="AC6" i="1"/>
  <c r="AC5" i="1"/>
  <c r="AC4" i="1"/>
  <c r="AB14" i="1"/>
  <c r="AB13" i="1"/>
  <c r="AB12" i="1"/>
  <c r="AB11" i="1"/>
  <c r="AB10" i="1"/>
  <c r="AB9" i="1"/>
  <c r="AB8" i="1"/>
  <c r="AB7" i="1"/>
  <c r="AB6" i="1"/>
  <c r="AB5" i="1"/>
  <c r="AB4" i="1"/>
  <c r="AA14" i="1"/>
  <c r="AA13" i="1"/>
  <c r="AA12" i="1"/>
  <c r="AA11" i="1"/>
  <c r="AA10" i="1"/>
  <c r="AA9" i="1"/>
  <c r="AA8" i="1"/>
  <c r="AA7" i="1"/>
  <c r="AA6" i="1"/>
  <c r="AA5" i="1"/>
  <c r="AA4" i="1"/>
  <c r="Z14" i="1"/>
  <c r="Z13" i="1"/>
  <c r="Z12" i="1"/>
  <c r="Z11" i="1"/>
  <c r="Z10" i="1"/>
  <c r="Z9" i="1"/>
  <c r="Z8" i="1"/>
  <c r="Z7" i="1"/>
  <c r="Z6" i="1"/>
  <c r="Z5" i="1"/>
  <c r="Z4" i="1"/>
  <c r="X14" i="1"/>
  <c r="X13" i="1"/>
  <c r="X12" i="1"/>
  <c r="X11" i="1"/>
  <c r="X10" i="1"/>
  <c r="X9" i="1"/>
  <c r="X8" i="1"/>
  <c r="X5" i="1"/>
  <c r="X7" i="1"/>
  <c r="X6" i="1"/>
  <c r="W14" i="1"/>
  <c r="W13" i="1"/>
  <c r="W12" i="1"/>
  <c r="W11" i="1"/>
  <c r="W10" i="1"/>
  <c r="W9" i="1"/>
  <c r="W8" i="1"/>
  <c r="W7" i="1"/>
  <c r="W6" i="1"/>
  <c r="W5" i="1"/>
  <c r="V14" i="1"/>
  <c r="V13" i="1"/>
  <c r="V12" i="1"/>
  <c r="V11" i="1"/>
  <c r="V10" i="1"/>
  <c r="V9" i="1"/>
  <c r="V8" i="1"/>
  <c r="V7" i="1"/>
  <c r="V6" i="1"/>
  <c r="V5" i="1"/>
  <c r="U14" i="1"/>
  <c r="U13" i="1"/>
  <c r="U12" i="1"/>
  <c r="U11" i="1"/>
  <c r="U10" i="1"/>
  <c r="U9" i="1"/>
  <c r="U8" i="1"/>
  <c r="U7" i="1"/>
  <c r="U6" i="1"/>
  <c r="U5" i="1"/>
  <c r="T14" i="1"/>
  <c r="T13" i="1"/>
  <c r="T12" i="1"/>
  <c r="T11" i="1"/>
  <c r="T10" i="1"/>
  <c r="T9" i="1"/>
  <c r="T8" i="1"/>
  <c r="T7" i="1"/>
  <c r="T6" i="1"/>
  <c r="T5" i="1"/>
  <c r="S14" i="1"/>
  <c r="S13" i="1"/>
  <c r="S12" i="1"/>
  <c r="S11" i="1"/>
  <c r="S10" i="1"/>
  <c r="S9" i="1"/>
  <c r="S8" i="1"/>
  <c r="S7" i="1"/>
  <c r="S6" i="1"/>
  <c r="S5" i="1"/>
  <c r="Y14" i="1"/>
  <c r="Y13" i="1"/>
  <c r="Y12" i="1"/>
  <c r="Y11" i="1"/>
  <c r="Y10" i="1"/>
  <c r="Y9" i="1"/>
  <c r="Y8" i="1"/>
  <c r="Y7" i="1"/>
  <c r="Y6" i="1"/>
  <c r="Y5" i="1"/>
  <c r="Y4" i="1"/>
  <c r="X4" i="1"/>
  <c r="W4" i="1"/>
  <c r="V4" i="1"/>
  <c r="U4" i="1"/>
  <c r="T4" i="1"/>
  <c r="S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H55" i="1" l="1"/>
  <c r="G55" i="1"/>
  <c r="H56" i="1"/>
  <c r="G56" i="1"/>
  <c r="H57" i="1"/>
  <c r="G57" i="1"/>
  <c r="H58" i="1"/>
  <c r="G58" i="1"/>
  <c r="H59" i="1"/>
  <c r="G59" i="1"/>
  <c r="H60" i="1"/>
  <c r="G60" i="1"/>
  <c r="H61" i="1"/>
  <c r="G61" i="1"/>
  <c r="H62" i="1"/>
  <c r="G62" i="1"/>
  <c r="H63" i="1"/>
  <c r="G63" i="1"/>
  <c r="H64" i="1"/>
  <c r="G64" i="1"/>
  <c r="G30" i="1"/>
  <c r="G31" i="1"/>
  <c r="G32" i="1"/>
  <c r="G33" i="1"/>
  <c r="G34" i="1"/>
  <c r="G35" i="1"/>
  <c r="G36" i="1"/>
  <c r="G37" i="1"/>
  <c r="G38" i="1"/>
  <c r="G29" i="1"/>
  <c r="G17" i="1"/>
  <c r="G18" i="1"/>
  <c r="G19" i="1"/>
  <c r="G20" i="1"/>
  <c r="G21" i="1"/>
  <c r="G22" i="1"/>
  <c r="G23" i="1"/>
  <c r="G24" i="1"/>
  <c r="G25" i="1"/>
  <c r="G16" i="1"/>
  <c r="G4" i="1"/>
  <c r="G5" i="1"/>
  <c r="G6" i="1"/>
  <c r="G7" i="1"/>
  <c r="G8" i="1"/>
  <c r="G9" i="1"/>
  <c r="G10" i="1"/>
  <c r="G11" i="1"/>
  <c r="G12" i="1"/>
  <c r="G3" i="1"/>
  <c r="H38" i="1"/>
  <c r="H37" i="1"/>
  <c r="H36" i="1"/>
  <c r="H35" i="1"/>
  <c r="H34" i="1"/>
  <c r="H33" i="1"/>
  <c r="H32" i="1"/>
  <c r="H31" i="1"/>
  <c r="H30" i="1"/>
  <c r="H29" i="1"/>
  <c r="H25" i="1"/>
  <c r="H24" i="1"/>
  <c r="H23" i="1"/>
  <c r="H22" i="1"/>
  <c r="H21" i="1"/>
  <c r="H20" i="1"/>
  <c r="H19" i="1"/>
  <c r="H18" i="1"/>
  <c r="H17" i="1"/>
  <c r="H16" i="1"/>
  <c r="H4" i="1"/>
  <c r="H5" i="1"/>
  <c r="H6" i="1"/>
  <c r="H7" i="1"/>
  <c r="H8" i="1"/>
  <c r="H9" i="1"/>
  <c r="H10" i="1"/>
  <c r="H11" i="1"/>
  <c r="H12" i="1"/>
  <c r="H3" i="1"/>
  <c r="I3" i="1"/>
  <c r="I8" i="1" s="1"/>
  <c r="I10" i="1" l="1"/>
  <c r="L10" i="1" s="1"/>
  <c r="I9" i="1"/>
  <c r="K9" i="1" s="1"/>
  <c r="K8" i="1"/>
  <c r="I7" i="1"/>
  <c r="K7" i="1" s="1"/>
  <c r="I4" i="1"/>
  <c r="K4" i="1" s="1"/>
  <c r="I6" i="1"/>
  <c r="J6" i="1" s="1"/>
  <c r="L8" i="1"/>
  <c r="I13" i="1"/>
  <c r="K13" i="1" s="1"/>
  <c r="I5" i="1"/>
  <c r="L5" i="1" s="1"/>
  <c r="I12" i="1"/>
  <c r="K12" i="1" s="1"/>
  <c r="I14" i="1"/>
  <c r="J14" i="1" s="1"/>
  <c r="J8" i="1"/>
  <c r="I11" i="1"/>
  <c r="L11" i="1" s="1"/>
  <c r="K10" i="1" l="1"/>
  <c r="L6" i="1"/>
  <c r="J10" i="1"/>
  <c r="L9" i="1"/>
  <c r="L7" i="1"/>
  <c r="K6" i="1"/>
  <c r="J7" i="1"/>
  <c r="J13" i="1"/>
  <c r="J4" i="1"/>
  <c r="J11" i="1"/>
  <c r="L14" i="1"/>
  <c r="K11" i="1"/>
  <c r="L13" i="1"/>
  <c r="L4" i="1"/>
  <c r="J12" i="1"/>
  <c r="L12" i="1"/>
  <c r="K5" i="1"/>
  <c r="J9" i="1"/>
  <c r="J5" i="1"/>
  <c r="K14" i="1"/>
  <c r="BO2" i="2"/>
</calcChain>
</file>

<file path=xl/sharedStrings.xml><?xml version="1.0" encoding="utf-8"?>
<sst xmlns="http://schemas.openxmlformats.org/spreadsheetml/2006/main" count="167" uniqueCount="35">
  <si>
    <t>Atualização</t>
  </si>
  <si>
    <t>Dashboard de análise sobre cursos mais recorentes</t>
  </si>
  <si>
    <t>Administração</t>
  </si>
  <si>
    <t>Pedagogia</t>
  </si>
  <si>
    <t>Direito</t>
  </si>
  <si>
    <t>Contabilidade</t>
  </si>
  <si>
    <t>Enfermagem</t>
  </si>
  <si>
    <t>Gestão de pessoas</t>
  </si>
  <si>
    <t>Sistemas de informação</t>
  </si>
  <si>
    <t>Engenharia civil</t>
  </si>
  <si>
    <t>Psicologia</t>
  </si>
  <si>
    <t>Educação física</t>
  </si>
  <si>
    <t>Educação física formação de professor</t>
  </si>
  <si>
    <t>Logística</t>
  </si>
  <si>
    <t>Marketing</t>
  </si>
  <si>
    <t>Formandos</t>
  </si>
  <si>
    <t>Vagas</t>
  </si>
  <si>
    <t>Top 10 cursos mais QUANTIDADE DE VAGAS</t>
  </si>
  <si>
    <t>inscritos</t>
  </si>
  <si>
    <t>Pesos</t>
  </si>
  <si>
    <t>Cursos mais ofertados e procurados</t>
  </si>
  <si>
    <t>Top 10 cursos mais concluintes</t>
  </si>
  <si>
    <t>Top 10 cursos mais ingressantes</t>
  </si>
  <si>
    <t>indice</t>
  </si>
  <si>
    <t>Curso 1</t>
  </si>
  <si>
    <t>TOP 5 CURSOS UTILIZANDO A MEDIA MONDERADA</t>
  </si>
  <si>
    <t>Soma dos pesos</t>
  </si>
  <si>
    <t>X</t>
  </si>
  <si>
    <t>conc/vag</t>
  </si>
  <si>
    <t>conc/inc</t>
  </si>
  <si>
    <t>Curso</t>
  </si>
  <si>
    <t>Grafico</t>
  </si>
  <si>
    <t>Concluintes</t>
  </si>
  <si>
    <t>Teste</t>
  </si>
  <si>
    <t>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</si>
</sst>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Dashed">
        <color theme="4" tint="0.399945066682943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3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0" fontId="1" fillId="0" borderId="1" xfId="0" applyFont="1" applyBorder="1"/>
    <xf numFmtId="0" fontId="0" fillId="0" borderId="1" xfId="0" applyBorder="1"/>
    <xf numFmtId="3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Dados!$J$4</c:f>
              <c:strCache>
                <c:ptCount val="1"/>
                <c:pt idx="0">
                  <c:v>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Dados!$I$5:$I$14</c:f>
              <c:strCache>
                <c:ptCount val="10"/>
                <c:pt idx="0">
                  <c:v>Administração</c:v>
                </c:pt>
                <c:pt idx="1">
                  <c:v>Pedagogia</c:v>
                </c:pt>
                <c:pt idx="2">
                  <c:v>Direito</c:v>
                </c:pt>
                <c:pt idx="3">
                  <c:v>Contabilidade</c:v>
                </c:pt>
                <c:pt idx="4">
                  <c:v>Enfermagem</c:v>
                </c:pt>
                <c:pt idx="5">
                  <c:v>Gestão de pessoas</c:v>
                </c:pt>
                <c:pt idx="6">
                  <c:v>Sistemas de informação</c:v>
                </c:pt>
                <c:pt idx="7">
                  <c:v>Engenharia civil</c:v>
                </c:pt>
                <c:pt idx="8">
                  <c:v>Psicologia</c:v>
                </c:pt>
                <c:pt idx="9">
                  <c:v>Educação física</c:v>
                </c:pt>
              </c:strCache>
            </c:strRef>
          </c:cat>
          <c:val>
            <c:numRef>
              <c:f>Dados!$J$5:$J$14</c:f>
              <c:numCache>
                <c:formatCode>#,##0</c:formatCode>
                <c:ptCount val="10"/>
                <c:pt idx="0">
                  <c:v>3727.49</c:v>
                </c:pt>
                <c:pt idx="1">
                  <c:v>3622.36</c:v>
                </c:pt>
                <c:pt idx="2">
                  <c:v>3046.924</c:v>
                </c:pt>
                <c:pt idx="3">
                  <c:v>1758.2919999999999</c:v>
                </c:pt>
                <c:pt idx="4">
                  <c:v>1512.2149999999999</c:v>
                </c:pt>
                <c:pt idx="5">
                  <c:v>1425.9670000000001</c:v>
                </c:pt>
                <c:pt idx="6">
                  <c:v>1261.6890000000001</c:v>
                </c:pt>
                <c:pt idx="7">
                  <c:v>1126.5820000000001</c:v>
                </c:pt>
                <c:pt idx="8">
                  <c:v>1045.3330000000001</c:v>
                </c:pt>
                <c:pt idx="9" formatCode="#,##0.00">
                  <c:v>960.05399999999997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B-4CFF-9152-E24034EFE697}"/>
            </c:ext>
          </c:extLst>
        </c:ser>
        <c:ser>
          <c:idx val="1"/>
          <c:order val="1"/>
          <c:tx>
            <c:strRef>
              <c:f>Dados!$K$4</c:f>
              <c:strCache>
                <c:ptCount val="1"/>
                <c:pt idx="0">
                  <c:v>Formandos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Dados!$K$5:$K$14</c:f>
              <c:numCache>
                <c:formatCode>#,##0</c:formatCode>
                <c:ptCount val="10"/>
                <c:pt idx="0">
                  <c:v>1415.8409999999999</c:v>
                </c:pt>
                <c:pt idx="1">
                  <c:v>1604.606</c:v>
                </c:pt>
                <c:pt idx="2">
                  <c:v>1401.2080000000001</c:v>
                </c:pt>
                <c:pt idx="3">
                  <c:v>621.95399999999995</c:v>
                </c:pt>
                <c:pt idx="4">
                  <c:v>528.84199999999998</c:v>
                </c:pt>
                <c:pt idx="5">
                  <c:v>521.80999999999995</c:v>
                </c:pt>
                <c:pt idx="6">
                  <c:v>322.81599999999997</c:v>
                </c:pt>
                <c:pt idx="7">
                  <c:v>375.96300000000002</c:v>
                </c:pt>
                <c:pt idx="8">
                  <c:v>359.56099999999998</c:v>
                </c:pt>
                <c:pt idx="9" formatCode="#,##0.00">
                  <c:v>258.46100000000001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B-4CFF-9152-E24034EFE697}"/>
            </c:ext>
          </c:extLst>
        </c:ser>
        <c:ser>
          <c:idx val="2"/>
          <c:order val="2"/>
          <c:tx>
            <c:strRef>
              <c:f>Dados!$L$4</c:f>
              <c:strCache>
                <c:ptCount val="1"/>
                <c:pt idx="0">
                  <c:v>Vagas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Dados!$L$5:$L$14</c:f>
              <c:numCache>
                <c:formatCode>#,##0</c:formatCode>
                <c:ptCount val="10"/>
                <c:pt idx="0">
                  <c:v>11017.879000000001</c:v>
                </c:pt>
                <c:pt idx="1">
                  <c:v>8813.8320000000003</c:v>
                </c:pt>
                <c:pt idx="2">
                  <c:v>4982.2709999999997</c:v>
                </c:pt>
                <c:pt idx="3">
                  <c:v>6034.2839999999997</c:v>
                </c:pt>
                <c:pt idx="4">
                  <c:v>3558.9079999999999</c:v>
                </c:pt>
                <c:pt idx="5">
                  <c:v>4738.0200000000004</c:v>
                </c:pt>
                <c:pt idx="6">
                  <c:v>4748.3509999999997</c:v>
                </c:pt>
                <c:pt idx="7">
                  <c:v>3716.893</c:v>
                </c:pt>
                <c:pt idx="8">
                  <c:v>2068.1889999999999</c:v>
                </c:pt>
                <c:pt idx="9" formatCode="#,##0.00">
                  <c:v>2931.623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B-4CFF-9152-E24034EF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946463"/>
        <c:axId val="1354323727"/>
      </c:barChart>
      <c:catAx>
        <c:axId val="1457946463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323727"/>
        <c:crosses val="autoZero"/>
        <c:auto val="1"/>
        <c:lblAlgn val="ctr"/>
        <c:lblOffset val="100"/>
        <c:noMultiLvlLbl val="0"/>
      </c:catAx>
      <c:valAx>
        <c:axId val="1354323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579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539470233412012E-2"/>
          <c:y val="0.16050921314620284"/>
          <c:w val="0.97692105953317598"/>
          <c:h val="0.76805653484061875"/>
        </c:manualLayout>
      </c:layout>
      <c:lineChart>
        <c:grouping val="standard"/>
        <c:varyColors val="0"/>
        <c:ser>
          <c:idx val="0"/>
          <c:order val="0"/>
          <c:tx>
            <c:strRef>
              <c:f>Dados!$AG$3</c:f>
              <c:strCache>
                <c:ptCount val="1"/>
                <c:pt idx="0">
                  <c:v>Administração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Dados!$AH$3:$AT$3</c:f>
              <c:numCache>
                <c:formatCode>0</c:formatCode>
                <c:ptCount val="13"/>
                <c:pt idx="0">
                  <c:v>121.11</c:v>
                </c:pt>
                <c:pt idx="1">
                  <c:v>126.268</c:v>
                </c:pt>
                <c:pt idx="2">
                  <c:v>133.89599999999999</c:v>
                </c:pt>
                <c:pt idx="3">
                  <c:v>116.035</c:v>
                </c:pt>
                <c:pt idx="4">
                  <c:v>112.023</c:v>
                </c:pt>
                <c:pt idx="5">
                  <c:v>124.854</c:v>
                </c:pt>
                <c:pt idx="6">
                  <c:v>118.084</c:v>
                </c:pt>
                <c:pt idx="7">
                  <c:v>112.145</c:v>
                </c:pt>
                <c:pt idx="8">
                  <c:v>103.342</c:v>
                </c:pt>
                <c:pt idx="9">
                  <c:v>91.936999999999998</c:v>
                </c:pt>
                <c:pt idx="10">
                  <c:v>90.971000000000004</c:v>
                </c:pt>
                <c:pt idx="11">
                  <c:v>85.427000000000007</c:v>
                </c:pt>
                <c:pt idx="12">
                  <c:v>79.748999999999995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1-478C-B6B0-3814CC847EAA}"/>
            </c:ext>
          </c:extLst>
        </c:ser>
        <c:ser>
          <c:idx val="1"/>
          <c:order val="1"/>
          <c:tx>
            <c:strRef>
              <c:f>Dados!$AG$4</c:f>
              <c:strCache>
                <c:ptCount val="1"/>
                <c:pt idx="0">
                  <c:v>Pedagogia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Dados!$AH$4:$AT$4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1-478C-B6B0-3814CC847EAA}"/>
            </c:ext>
          </c:extLst>
        </c:ser>
        <c:ser>
          <c:idx val="2"/>
          <c:order val="2"/>
          <c:tx>
            <c:strRef>
              <c:f>Dados!$AG$5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Dados!$AH$5:$AT$5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1-478C-B6B0-3814CC847EAA}"/>
            </c:ext>
          </c:extLst>
        </c:ser>
        <c:ser>
          <c:idx val="3"/>
          <c:order val="3"/>
          <c:tx>
            <c:strRef>
              <c:f>Dados!$AG$6</c:f>
              <c:strCache>
                <c:ptCount val="1"/>
                <c:pt idx="0">
                  <c:v>Direito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Dados!$AH$6:$AT$6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1-478C-B6B0-3814CC847EAA}"/>
            </c:ext>
          </c:extLst>
        </c:ser>
        <c:ser>
          <c:idx val="4"/>
          <c:order val="4"/>
          <c:tx>
            <c:strRef>
              <c:f>Dados!$AG$7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Dados!$AH$7:$AT$7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1-478C-B6B0-3814CC847EAA}"/>
            </c:ext>
          </c:extLst>
        </c:ser>
        <c:ser>
          <c:idx val="5"/>
          <c:order val="5"/>
          <c:tx>
            <c:strRef>
              <c:f>Dados!$AG$8</c:f>
              <c:strCache>
                <c:ptCount val="1"/>
                <c:pt idx="0">
                  <c:v>Educação física formação de professor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Dados!$AH$8:$AT$8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1-478C-B6B0-3814CC847EAA}"/>
            </c:ext>
          </c:extLst>
        </c:ser>
        <c:ser>
          <c:idx val="6"/>
          <c:order val="6"/>
          <c:tx>
            <c:strRef>
              <c:f>Dados!$AG$9</c:f>
              <c:strCache>
                <c:ptCount val="1"/>
                <c:pt idx="0">
                  <c:v>Educação física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Dados!$AH$9:$AT$9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B1-478C-B6B0-3814CC847EAA}"/>
            </c:ext>
          </c:extLst>
        </c:ser>
        <c:ser>
          <c:idx val="7"/>
          <c:order val="7"/>
          <c:tx>
            <c:strRef>
              <c:f>Dados!$AG$10</c:f>
              <c:strCache>
                <c:ptCount val="1"/>
                <c:pt idx="0">
                  <c:v>Contabilidade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Dados!$AH$10:$AT$10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B1-478C-B6B0-3814CC847EAA}"/>
            </c:ext>
          </c:extLst>
        </c:ser>
        <c:ser>
          <c:idx val="8"/>
          <c:order val="8"/>
          <c:tx>
            <c:strRef>
              <c:f>Dados!$AG$11</c:f>
              <c:strCache>
                <c:ptCount val="1"/>
                <c:pt idx="0">
                  <c:v>Gestão de pessoas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Dados!$AH$11:$AT$11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B1-478C-B6B0-3814CC847EAA}"/>
            </c:ext>
          </c:extLst>
        </c:ser>
        <c:ser>
          <c:idx val="9"/>
          <c:order val="9"/>
          <c:tx>
            <c:strRef>
              <c:f>Dados!$AG$12</c:f>
              <c:strCache>
                <c:ptCount val="1"/>
                <c:pt idx="0">
                  <c:v>Enfermagem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1270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Dados!$AH$12:$AT$12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B1-478C-B6B0-3814CC847EAA}"/>
            </c:ext>
          </c:extLst>
        </c:ser>
        <c:ser>
          <c:idx val="10"/>
          <c:order val="10"/>
          <c:tx>
            <c:strRef>
              <c:f>Dados!$AG$13</c:f>
              <c:strCache>
                <c:ptCount val="1"/>
                <c:pt idx="0">
                  <c:v>Sistemas de informação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1270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Dados!$AH$13:$AT$13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B1-478C-B6B0-3814CC847EAA}"/>
            </c:ext>
          </c:extLst>
        </c:ser>
        <c:ser>
          <c:idx val="11"/>
          <c:order val="11"/>
          <c:tx>
            <c:strRef>
              <c:f>Dados!$AG$14</c:f>
              <c:strCache>
                <c:ptCount val="1"/>
                <c:pt idx="0">
                  <c:v>Engenharia civil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1270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Dados!$AH$14:$AT$14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B1-478C-B6B0-3814CC84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806527"/>
        <c:axId val="1474386191"/>
      </c:lineChart>
      <c:catAx>
        <c:axId val="1840806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86191"/>
        <c:crosses val="autoZero"/>
        <c:auto val="1"/>
        <c:lblAlgn val="ctr"/>
        <c:lblOffset val="100"/>
        <c:noMultiLvlLbl val="0"/>
      </c:catAx>
      <c:valAx>
        <c:axId val="1474386191"/>
        <c:scaling>
          <c:orientation val="minMax"/>
          <c:max val="2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8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4897418900528868E-2"/>
          <c:y val="1.8475755057071171E-2"/>
          <c:w val="0.97510261166633083"/>
          <c:h val="0.1266369955415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Dados!$AG$17</c:f>
              <c:strCache>
                <c:ptCount val="1"/>
                <c:pt idx="0">
                  <c:v>Administração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Dados!$AH$17:$AT$17</c:f>
              <c:numCache>
                <c:formatCode>0</c:formatCode>
                <c:ptCount val="13"/>
                <c:pt idx="0">
                  <c:v>543.36599999999999</c:v>
                </c:pt>
                <c:pt idx="1">
                  <c:v>494.70600000000002</c:v>
                </c:pt>
                <c:pt idx="2">
                  <c:v>493.34899999999999</c:v>
                </c:pt>
                <c:pt idx="3">
                  <c:v>672.74400000000003</c:v>
                </c:pt>
                <c:pt idx="4">
                  <c:v>761.01199999999994</c:v>
                </c:pt>
                <c:pt idx="5">
                  <c:v>837.45699999999999</c:v>
                </c:pt>
                <c:pt idx="6">
                  <c:v>944.99300000000005</c:v>
                </c:pt>
                <c:pt idx="7">
                  <c:v>949.53300000000002</c:v>
                </c:pt>
                <c:pt idx="8">
                  <c:v>1045.3109999999999</c:v>
                </c:pt>
                <c:pt idx="9">
                  <c:v>1032.393</c:v>
                </c:pt>
                <c:pt idx="10">
                  <c:v>1094.932</c:v>
                </c:pt>
                <c:pt idx="11">
                  <c:v>1079.0070000000001</c:v>
                </c:pt>
                <c:pt idx="12">
                  <c:v>1069.076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E1B-9004-E1423BF8FFBC}"/>
            </c:ext>
          </c:extLst>
        </c:ser>
        <c:ser>
          <c:idx val="1"/>
          <c:order val="1"/>
          <c:tx>
            <c:strRef>
              <c:f>Dados!$AG$18</c:f>
              <c:strCache>
                <c:ptCount val="1"/>
                <c:pt idx="0">
                  <c:v>Pedagogia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Dados!$AH$18:$AT$18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E-4E1B-9004-E1423BF8FFBC}"/>
            </c:ext>
          </c:extLst>
        </c:ser>
        <c:ser>
          <c:idx val="2"/>
          <c:order val="2"/>
          <c:tx>
            <c:strRef>
              <c:f>Dados!$AG$19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Dados!$AH$19:$AT$19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E-4E1B-9004-E1423BF8FFBC}"/>
            </c:ext>
          </c:extLst>
        </c:ser>
        <c:ser>
          <c:idx val="3"/>
          <c:order val="3"/>
          <c:tx>
            <c:strRef>
              <c:f>Dados!$AG$20</c:f>
              <c:strCache>
                <c:ptCount val="1"/>
                <c:pt idx="0">
                  <c:v>Direito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Dados!$AH$20:$AT$20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E-4E1B-9004-E1423BF8FFBC}"/>
            </c:ext>
          </c:extLst>
        </c:ser>
        <c:ser>
          <c:idx val="4"/>
          <c:order val="4"/>
          <c:tx>
            <c:strRef>
              <c:f>Dados!$AG$21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Dados!$AH$21:$AT$21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E-4E1B-9004-E1423BF8FFBC}"/>
            </c:ext>
          </c:extLst>
        </c:ser>
        <c:ser>
          <c:idx val="5"/>
          <c:order val="5"/>
          <c:tx>
            <c:strRef>
              <c:f>Dados!$AG$22</c:f>
              <c:strCache>
                <c:ptCount val="1"/>
                <c:pt idx="0">
                  <c:v>Educação física formação de professor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Dados!$AH$22:$AT$22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E-4E1B-9004-E1423BF8FFBC}"/>
            </c:ext>
          </c:extLst>
        </c:ser>
        <c:ser>
          <c:idx val="6"/>
          <c:order val="6"/>
          <c:tx>
            <c:strRef>
              <c:f>Dados!$AG$23</c:f>
              <c:strCache>
                <c:ptCount val="1"/>
                <c:pt idx="0">
                  <c:v>Educação física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Dados!$AH$23:$AT$23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E-4E1B-9004-E1423BF8FFBC}"/>
            </c:ext>
          </c:extLst>
        </c:ser>
        <c:ser>
          <c:idx val="7"/>
          <c:order val="7"/>
          <c:tx>
            <c:strRef>
              <c:f>Dados!$AG$24</c:f>
              <c:strCache>
                <c:ptCount val="1"/>
                <c:pt idx="0">
                  <c:v>Contabilidade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Dados!$AH$24:$AT$24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8E-4E1B-9004-E1423BF8FFBC}"/>
            </c:ext>
          </c:extLst>
        </c:ser>
        <c:ser>
          <c:idx val="8"/>
          <c:order val="8"/>
          <c:tx>
            <c:strRef>
              <c:f>Dados!$AG$25</c:f>
              <c:strCache>
                <c:ptCount val="1"/>
                <c:pt idx="0">
                  <c:v>Gestão de pessoas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Dados!$AH$25:$AT$25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8E-4E1B-9004-E1423BF8FFBC}"/>
            </c:ext>
          </c:extLst>
        </c:ser>
        <c:ser>
          <c:idx val="9"/>
          <c:order val="9"/>
          <c:tx>
            <c:strRef>
              <c:f>Dados!$AG$26</c:f>
              <c:strCache>
                <c:ptCount val="1"/>
                <c:pt idx="0">
                  <c:v>Enfermagem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1270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Dados!$AH$26:$AT$26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E-4E1B-9004-E1423BF8FFBC}"/>
            </c:ext>
          </c:extLst>
        </c:ser>
        <c:ser>
          <c:idx val="10"/>
          <c:order val="10"/>
          <c:tx>
            <c:strRef>
              <c:f>Dados!$AG$27</c:f>
              <c:strCache>
                <c:ptCount val="1"/>
                <c:pt idx="0">
                  <c:v>Sistemas de informação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1270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Dados!$AH$27:$AT$27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8E-4E1B-9004-E1423BF8FFBC}"/>
            </c:ext>
          </c:extLst>
        </c:ser>
        <c:ser>
          <c:idx val="11"/>
          <c:order val="11"/>
          <c:tx>
            <c:strRef>
              <c:f>Dados!$AG$28</c:f>
              <c:strCache>
                <c:ptCount val="1"/>
                <c:pt idx="0">
                  <c:v>Engenharia civil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1270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Dados!$AH$28:$AT$28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8E-4E1B-9004-E1423BF8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29471"/>
        <c:axId val="1548102191"/>
      </c:lineChart>
      <c:catAx>
        <c:axId val="136002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102191"/>
        <c:crosses val="autoZero"/>
        <c:auto val="1"/>
        <c:lblAlgn val="ctr"/>
        <c:lblOffset val="100"/>
        <c:noMultiLvlLbl val="0"/>
      </c:catAx>
      <c:valAx>
        <c:axId val="1548102191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0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391949010325445E-2"/>
          <c:y val="1.9277108433734941E-2"/>
          <c:w val="0.94813140159032228"/>
          <c:h val="0.1578324637131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Dados!$R$7" lockText="1"/>
</file>

<file path=xl/ctrlProps/ctrlProp11.xml><?xml version="1.0" encoding="utf-8"?>
<formControlPr xmlns="http://schemas.microsoft.com/office/spreadsheetml/2009/9/main" objectType="CheckBox" fmlaLink="Dados!$R$6" lockText="1"/>
</file>

<file path=xl/ctrlProps/ctrlProp12.xml><?xml version="1.0" encoding="utf-8"?>
<formControlPr xmlns="http://schemas.microsoft.com/office/spreadsheetml/2009/9/main" objectType="CheckBox" fmlaLink="Dados!$R$8" lockText="1"/>
</file>

<file path=xl/ctrlProps/ctrlProp13.xml><?xml version="1.0" encoding="utf-8"?>
<formControlPr xmlns="http://schemas.microsoft.com/office/spreadsheetml/2009/9/main" objectType="CheckBox" fmlaLink="Dados!$R$9" lockText="1"/>
</file>

<file path=xl/ctrlProps/ctrlProp14.xml><?xml version="1.0" encoding="utf-8"?>
<formControlPr xmlns="http://schemas.microsoft.com/office/spreadsheetml/2009/9/main" objectType="CheckBox" fmlaLink="Dados!$R$10" lockText="1"/>
</file>

<file path=xl/ctrlProps/ctrlProp15.xml><?xml version="1.0" encoding="utf-8"?>
<formControlPr xmlns="http://schemas.microsoft.com/office/spreadsheetml/2009/9/main" objectType="CheckBox" fmlaLink="Dados!$R$11" lockText="1"/>
</file>

<file path=xl/ctrlProps/ctrlProp16.xml><?xml version="1.0" encoding="utf-8"?>
<formControlPr xmlns="http://schemas.microsoft.com/office/spreadsheetml/2009/9/main" objectType="CheckBox" fmlaLink="Dados!$R$12" lockText="1"/>
</file>

<file path=xl/ctrlProps/ctrlProp17.xml><?xml version="1.0" encoding="utf-8"?>
<formControlPr xmlns="http://schemas.microsoft.com/office/spreadsheetml/2009/9/main" objectType="CheckBox" fmlaLink="Dados!$R$13" lockText="1"/>
</file>

<file path=xl/ctrlProps/ctrlProp18.xml><?xml version="1.0" encoding="utf-8"?>
<formControlPr xmlns="http://schemas.microsoft.com/office/spreadsheetml/2009/9/main" objectType="CheckBox" fmlaLink="Dados!$R$14" lockText="1"/>
</file>

<file path=xl/ctrlProps/ctrlProp19.xml><?xml version="1.0" encoding="utf-8"?>
<formControlPr xmlns="http://schemas.microsoft.com/office/spreadsheetml/2009/9/main" objectType="CheckBox" checked="Checked" fmlaLink="Dados!$R$17" lockText="1"/>
</file>

<file path=xl/ctrlProps/ctrlProp2.xml><?xml version="1.0" encoding="utf-8"?>
<formControlPr xmlns="http://schemas.microsoft.com/office/spreadsheetml/2009/9/main" objectType="Radio" firstButton="1" fmlaLink="Dados!$N$2" lockText="1"/>
</file>

<file path=xl/ctrlProps/ctrlProp20.xml><?xml version="1.0" encoding="utf-8"?>
<formControlPr xmlns="http://schemas.microsoft.com/office/spreadsheetml/2009/9/main" objectType="CheckBox" fmlaLink="Dados!$R$18" lockText="1"/>
</file>

<file path=xl/ctrlProps/ctrlProp21.xml><?xml version="1.0" encoding="utf-8"?>
<formControlPr xmlns="http://schemas.microsoft.com/office/spreadsheetml/2009/9/main" objectType="CheckBox" fmlaLink="Dados!$R$19" lockText="1"/>
</file>

<file path=xl/ctrlProps/ctrlProp22.xml><?xml version="1.0" encoding="utf-8"?>
<formControlPr xmlns="http://schemas.microsoft.com/office/spreadsheetml/2009/9/main" objectType="CheckBox" fmlaLink="Dados!$R$21" lockText="1"/>
</file>

<file path=xl/ctrlProps/ctrlProp23.xml><?xml version="1.0" encoding="utf-8"?>
<formControlPr xmlns="http://schemas.microsoft.com/office/spreadsheetml/2009/9/main" objectType="CheckBox" fmlaLink="Dados!$R$20" lockText="1"/>
</file>

<file path=xl/ctrlProps/ctrlProp24.xml><?xml version="1.0" encoding="utf-8"?>
<formControlPr xmlns="http://schemas.microsoft.com/office/spreadsheetml/2009/9/main" objectType="CheckBox" fmlaLink="Dados!$R$22" lockText="1"/>
</file>

<file path=xl/ctrlProps/ctrlProp25.xml><?xml version="1.0" encoding="utf-8"?>
<formControlPr xmlns="http://schemas.microsoft.com/office/spreadsheetml/2009/9/main" objectType="CheckBox" fmlaLink="Dados!$R$23" lockText="1"/>
</file>

<file path=xl/ctrlProps/ctrlProp26.xml><?xml version="1.0" encoding="utf-8"?>
<formControlPr xmlns="http://schemas.microsoft.com/office/spreadsheetml/2009/9/main" objectType="CheckBox" fmlaLink="Dados!$R$24" lockText="1"/>
</file>

<file path=xl/ctrlProps/ctrlProp27.xml><?xml version="1.0" encoding="utf-8"?>
<formControlPr xmlns="http://schemas.microsoft.com/office/spreadsheetml/2009/9/main" objectType="CheckBox" fmlaLink="Dados!$R$25" lockText="1"/>
</file>

<file path=xl/ctrlProps/ctrlProp28.xml><?xml version="1.0" encoding="utf-8"?>
<formControlPr xmlns="http://schemas.microsoft.com/office/spreadsheetml/2009/9/main" objectType="CheckBox" fmlaLink="Dados!$R$26" lockText="1"/>
</file>

<file path=xl/ctrlProps/ctrlProp29.xml><?xml version="1.0" encoding="utf-8"?>
<formControlPr xmlns="http://schemas.microsoft.com/office/spreadsheetml/2009/9/main" objectType="CheckBox" fmlaLink="Dados!$R$27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fmlaLink="Dados!$R$28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fmlaLink="Dados!$R$3" lockText="1"/>
</file>

<file path=xl/ctrlProps/ctrlProp8.xml><?xml version="1.0" encoding="utf-8"?>
<formControlPr xmlns="http://schemas.microsoft.com/office/spreadsheetml/2009/9/main" objectType="CheckBox" fmlaLink="Dados!$R$4" lockText="1"/>
</file>

<file path=xl/ctrlProps/ctrlProp9.xml><?xml version="1.0" encoding="utf-8"?>
<formControlPr xmlns="http://schemas.microsoft.com/office/spreadsheetml/2009/9/main" objectType="CheckBox" fmlaLink="Dados!$R$5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19050</xdr:rowOff>
    </xdr:from>
    <xdr:to>
      <xdr:col>2</xdr:col>
      <xdr:colOff>172800</xdr:colOff>
      <xdr:row>4</xdr:row>
      <xdr:rowOff>173850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1475" y="895350"/>
          <a:ext cx="163275" cy="1548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21946</xdr:colOff>
          <xdr:row>5</xdr:row>
          <xdr:rowOff>73152</xdr:rowOff>
        </xdr:from>
        <xdr:to>
          <xdr:col>70</xdr:col>
          <xdr:colOff>29261</xdr:colOff>
          <xdr:row>28</xdr:row>
          <xdr:rowOff>146304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Ordenação dos cursos baseados em concluintes, inscritos e vagas ofertadas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124358</xdr:colOff>
          <xdr:row>5</xdr:row>
          <xdr:rowOff>146304</xdr:rowOff>
        </xdr:from>
        <xdr:to>
          <xdr:col>16</xdr:col>
          <xdr:colOff>87782</xdr:colOff>
          <xdr:row>7</xdr:row>
          <xdr:rowOff>29261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vagas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65837</xdr:colOff>
          <xdr:row>5</xdr:row>
          <xdr:rowOff>182880</xdr:rowOff>
        </xdr:from>
        <xdr:to>
          <xdr:col>40</xdr:col>
          <xdr:colOff>153619</xdr:colOff>
          <xdr:row>7</xdr:row>
          <xdr:rowOff>65837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concluintes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21946</xdr:colOff>
          <xdr:row>5</xdr:row>
          <xdr:rowOff>146304</xdr:rowOff>
        </xdr:from>
        <xdr:to>
          <xdr:col>61</xdr:col>
          <xdr:colOff>102413</xdr:colOff>
          <xdr:row>7</xdr:row>
          <xdr:rowOff>29261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ingressantes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29261</xdr:colOff>
          <xdr:row>29</xdr:row>
          <xdr:rowOff>51206</xdr:rowOff>
        </xdr:from>
        <xdr:to>
          <xdr:col>70</xdr:col>
          <xdr:colOff>36576</xdr:colOff>
          <xdr:row>53</xdr:row>
          <xdr:rowOff>36576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Evoluação do curso por ano vagas por 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7315</xdr:colOff>
          <xdr:row>53</xdr:row>
          <xdr:rowOff>95098</xdr:rowOff>
        </xdr:from>
        <xdr:to>
          <xdr:col>70</xdr:col>
          <xdr:colOff>21946</xdr:colOff>
          <xdr:row>77</xdr:row>
          <xdr:rowOff>87782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Evoluação do curso por ano - concluintes por 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65837</xdr:colOff>
          <xdr:row>30</xdr:row>
          <xdr:rowOff>0</xdr:rowOff>
        </xdr:from>
        <xdr:to>
          <xdr:col>9</xdr:col>
          <xdr:colOff>29261</xdr:colOff>
          <xdr:row>31</xdr:row>
          <xdr:rowOff>58522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Administração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95098</xdr:colOff>
          <xdr:row>30</xdr:row>
          <xdr:rowOff>7315</xdr:rowOff>
        </xdr:from>
        <xdr:to>
          <xdr:col>13</xdr:col>
          <xdr:colOff>65837</xdr:colOff>
          <xdr:row>31</xdr:row>
          <xdr:rowOff>21946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Pedagogia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117043</xdr:colOff>
          <xdr:row>30</xdr:row>
          <xdr:rowOff>7315</xdr:rowOff>
        </xdr:from>
        <xdr:to>
          <xdr:col>17</xdr:col>
          <xdr:colOff>36576</xdr:colOff>
          <xdr:row>31</xdr:row>
          <xdr:rowOff>29261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Logística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160934</xdr:colOff>
          <xdr:row>29</xdr:row>
          <xdr:rowOff>182880</xdr:rowOff>
        </xdr:from>
        <xdr:to>
          <xdr:col>23</xdr:col>
          <xdr:colOff>117043</xdr:colOff>
          <xdr:row>31</xdr:row>
          <xdr:rowOff>36576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Marketing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29</xdr:row>
          <xdr:rowOff>182880</xdr:rowOff>
        </xdr:from>
        <xdr:to>
          <xdr:col>20</xdr:col>
          <xdr:colOff>65837</xdr:colOff>
          <xdr:row>31</xdr:row>
          <xdr:rowOff>29261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117043</xdr:colOff>
          <xdr:row>30</xdr:row>
          <xdr:rowOff>36576</xdr:rowOff>
        </xdr:from>
        <xdr:to>
          <xdr:col>32</xdr:col>
          <xdr:colOff>87782</xdr:colOff>
          <xdr:row>31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Educaão física para 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21946</xdr:colOff>
          <xdr:row>30</xdr:row>
          <xdr:rowOff>0</xdr:rowOff>
        </xdr:from>
        <xdr:to>
          <xdr:col>37</xdr:col>
          <xdr:colOff>29261</xdr:colOff>
          <xdr:row>31</xdr:row>
          <xdr:rowOff>7315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Educação Física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51206</xdr:colOff>
          <xdr:row>29</xdr:row>
          <xdr:rowOff>182880</xdr:rowOff>
        </xdr:from>
        <xdr:to>
          <xdr:col>41</xdr:col>
          <xdr:colOff>168250</xdr:colOff>
          <xdr:row>31</xdr:row>
          <xdr:rowOff>21946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Contabilidade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30</xdr:row>
          <xdr:rowOff>0</xdr:rowOff>
        </xdr:from>
        <xdr:to>
          <xdr:col>47</xdr:col>
          <xdr:colOff>153619</xdr:colOff>
          <xdr:row>31</xdr:row>
          <xdr:rowOff>29261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Gestão de Pessoas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160934</xdr:colOff>
          <xdr:row>29</xdr:row>
          <xdr:rowOff>182880</xdr:rowOff>
        </xdr:from>
        <xdr:to>
          <xdr:col>52</xdr:col>
          <xdr:colOff>51206</xdr:colOff>
          <xdr:row>31</xdr:row>
          <xdr:rowOff>36576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Enfermagem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29261</xdr:colOff>
          <xdr:row>29</xdr:row>
          <xdr:rowOff>168250</xdr:rowOff>
        </xdr:from>
        <xdr:to>
          <xdr:col>59</xdr:col>
          <xdr:colOff>21946</xdr:colOff>
          <xdr:row>31</xdr:row>
          <xdr:rowOff>21946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Sistema de Informação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29261</xdr:colOff>
          <xdr:row>29</xdr:row>
          <xdr:rowOff>182880</xdr:rowOff>
        </xdr:from>
        <xdr:to>
          <xdr:col>66</xdr:col>
          <xdr:colOff>21946</xdr:colOff>
          <xdr:row>31</xdr:row>
          <xdr:rowOff>29261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Engenharia 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</xdr:colOff>
          <xdr:row>54</xdr:row>
          <xdr:rowOff>153619</xdr:rowOff>
        </xdr:from>
        <xdr:to>
          <xdr:col>9</xdr:col>
          <xdr:colOff>0</xdr:colOff>
          <xdr:row>56</xdr:row>
          <xdr:rowOff>21946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Administração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65837</xdr:colOff>
          <xdr:row>55</xdr:row>
          <xdr:rowOff>0</xdr:rowOff>
        </xdr:from>
        <xdr:to>
          <xdr:col>13</xdr:col>
          <xdr:colOff>36576</xdr:colOff>
          <xdr:row>56</xdr:row>
          <xdr:rowOff>7315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Pedagogia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87782</xdr:colOff>
          <xdr:row>55</xdr:row>
          <xdr:rowOff>0</xdr:rowOff>
        </xdr:from>
        <xdr:to>
          <xdr:col>17</xdr:col>
          <xdr:colOff>7315</xdr:colOff>
          <xdr:row>56</xdr:row>
          <xdr:rowOff>21946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Logística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131674</xdr:colOff>
          <xdr:row>54</xdr:row>
          <xdr:rowOff>168250</xdr:rowOff>
        </xdr:from>
        <xdr:to>
          <xdr:col>23</xdr:col>
          <xdr:colOff>87782</xdr:colOff>
          <xdr:row>56</xdr:row>
          <xdr:rowOff>29261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Marketing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146304</xdr:colOff>
          <xdr:row>54</xdr:row>
          <xdr:rowOff>182880</xdr:rowOff>
        </xdr:from>
        <xdr:to>
          <xdr:col>20</xdr:col>
          <xdr:colOff>29261</xdr:colOff>
          <xdr:row>56</xdr:row>
          <xdr:rowOff>29261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73152</xdr:colOff>
          <xdr:row>55</xdr:row>
          <xdr:rowOff>29261</xdr:rowOff>
        </xdr:from>
        <xdr:to>
          <xdr:col>32</xdr:col>
          <xdr:colOff>51206</xdr:colOff>
          <xdr:row>55</xdr:row>
          <xdr:rowOff>182880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Educaão física para 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168250</xdr:colOff>
          <xdr:row>54</xdr:row>
          <xdr:rowOff>182880</xdr:rowOff>
        </xdr:from>
        <xdr:to>
          <xdr:col>37</xdr:col>
          <xdr:colOff>0</xdr:colOff>
          <xdr:row>56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Educação Física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7315</xdr:colOff>
          <xdr:row>55</xdr:row>
          <xdr:rowOff>0</xdr:rowOff>
        </xdr:from>
        <xdr:to>
          <xdr:col>41</xdr:col>
          <xdr:colOff>131674</xdr:colOff>
          <xdr:row>56</xdr:row>
          <xdr:rowOff>29261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Contabilidade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153619</xdr:colOff>
          <xdr:row>54</xdr:row>
          <xdr:rowOff>182880</xdr:rowOff>
        </xdr:from>
        <xdr:to>
          <xdr:col>47</xdr:col>
          <xdr:colOff>124358</xdr:colOff>
          <xdr:row>56</xdr:row>
          <xdr:rowOff>21946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Gestão de Pessoas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131674</xdr:colOff>
          <xdr:row>54</xdr:row>
          <xdr:rowOff>168250</xdr:rowOff>
        </xdr:from>
        <xdr:to>
          <xdr:col>52</xdr:col>
          <xdr:colOff>21946</xdr:colOff>
          <xdr:row>56</xdr:row>
          <xdr:rowOff>29261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Enfermagem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54</xdr:row>
          <xdr:rowOff>160934</xdr:rowOff>
        </xdr:from>
        <xdr:to>
          <xdr:col>58</xdr:col>
          <xdr:colOff>168250</xdr:colOff>
          <xdr:row>56</xdr:row>
          <xdr:rowOff>7315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Sistema de Informação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0</xdr:colOff>
          <xdr:row>54</xdr:row>
          <xdr:rowOff>168250</xdr:rowOff>
        </xdr:from>
        <xdr:to>
          <xdr:col>65</xdr:col>
          <xdr:colOff>168250</xdr:colOff>
          <xdr:row>56</xdr:row>
          <xdr:rowOff>21946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Engenharia Civil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152400</xdr:colOff>
      <xdr:row>7</xdr:row>
      <xdr:rowOff>66675</xdr:rowOff>
    </xdr:from>
    <xdr:to>
      <xdr:col>68</xdr:col>
      <xdr:colOff>161925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57151</xdr:colOff>
      <xdr:row>31</xdr:row>
      <xdr:rowOff>44823</xdr:rowOff>
    </xdr:from>
    <xdr:to>
      <xdr:col>70</xdr:col>
      <xdr:colOff>56030</xdr:colOff>
      <xdr:row>52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138391</xdr:colOff>
      <xdr:row>56</xdr:row>
      <xdr:rowOff>15687</xdr:rowOff>
    </xdr:from>
    <xdr:to>
      <xdr:col>71</xdr:col>
      <xdr:colOff>145676</xdr:colOff>
      <xdr:row>76</xdr:row>
      <xdr:rowOff>158562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EAD3-C438-431A-B9EE-47F032F0C010}">
  <sheetPr codeName="Planilha1"/>
  <dimension ref="B2:BS44"/>
  <sheetViews>
    <sheetView tabSelected="1" topLeftCell="D41" zoomScale="85" zoomScaleNormal="85" workbookViewId="0">
      <selection activeCell="BV25" sqref="BV25"/>
    </sheetView>
  </sheetViews>
  <sheetFormatPr defaultRowHeight="14.4" x14ac:dyDescent="0.3"/>
  <cols>
    <col min="1" max="71" width="2.69921875" customWidth="1"/>
  </cols>
  <sheetData>
    <row r="2" spans="2:71" ht="24.05" customHeight="1" x14ac:dyDescent="0.3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3"/>
      <c r="BD2" s="13"/>
      <c r="BE2" s="13"/>
      <c r="BF2" s="13"/>
      <c r="BG2" s="13"/>
      <c r="BH2" s="13"/>
      <c r="BI2" s="13"/>
      <c r="BJ2" s="2" t="s">
        <v>0</v>
      </c>
      <c r="BK2" s="2"/>
      <c r="BL2" s="2"/>
      <c r="BM2" s="2"/>
      <c r="BN2" s="2"/>
      <c r="BO2" s="14">
        <f ca="1">TODAY()</f>
        <v>45544</v>
      </c>
      <c r="BP2" s="14"/>
      <c r="BQ2" s="14"/>
      <c r="BR2" s="14"/>
      <c r="BS2" s="14"/>
    </row>
    <row r="3" spans="2:7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5" spans="2:71" ht="22.5" customHeight="1" thickBot="1" x14ac:dyDescent="0.5">
      <c r="D5" s="6" t="s">
        <v>20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33" spans="6:6" x14ac:dyDescent="0.3">
      <c r="F33" s="10"/>
    </row>
    <row r="34" spans="6:6" x14ac:dyDescent="0.3">
      <c r="F34" s="10"/>
    </row>
    <row r="35" spans="6:6" x14ac:dyDescent="0.3">
      <c r="F35" s="10"/>
    </row>
    <row r="36" spans="6:6" x14ac:dyDescent="0.3">
      <c r="F36" s="10"/>
    </row>
    <row r="37" spans="6:6" x14ac:dyDescent="0.3">
      <c r="F37" s="10"/>
    </row>
    <row r="38" spans="6:6" x14ac:dyDescent="0.3">
      <c r="F38" s="10"/>
    </row>
    <row r="39" spans="6:6" x14ac:dyDescent="0.3">
      <c r="F39" s="10"/>
    </row>
    <row r="40" spans="6:6" x14ac:dyDescent="0.3">
      <c r="F40" s="10"/>
    </row>
    <row r="41" spans="6:6" x14ac:dyDescent="0.3">
      <c r="F41" s="10"/>
    </row>
    <row r="42" spans="6:6" x14ac:dyDescent="0.3">
      <c r="F42" s="10"/>
    </row>
    <row r="43" spans="6:6" x14ac:dyDescent="0.3">
      <c r="F43" s="10"/>
    </row>
    <row r="44" spans="6:6" x14ac:dyDescent="0.3">
      <c r="F44" s="10"/>
    </row>
  </sheetData>
  <mergeCells count="3">
    <mergeCell ref="B2:BB2"/>
    <mergeCell ref="BC2:BI2"/>
    <mergeCell ref="BO2:BS2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Group Box 1">
              <controlPr defaultSize="0" autoFill="0" autoPict="0">
                <anchor moveWithCells="1">
                  <from>
                    <xdr:col>3</xdr:col>
                    <xdr:colOff>21946</xdr:colOff>
                    <xdr:row>5</xdr:row>
                    <xdr:rowOff>73152</xdr:rowOff>
                  </from>
                  <to>
                    <xdr:col>70</xdr:col>
                    <xdr:colOff>29261</xdr:colOff>
                    <xdr:row>28</xdr:row>
                    <xdr:rowOff>146304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8</xdr:col>
                    <xdr:colOff>124358</xdr:colOff>
                    <xdr:row>5</xdr:row>
                    <xdr:rowOff>146304</xdr:rowOff>
                  </from>
                  <to>
                    <xdr:col>16</xdr:col>
                    <xdr:colOff>87782</xdr:colOff>
                    <xdr:row>7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30</xdr:col>
                    <xdr:colOff>65837</xdr:colOff>
                    <xdr:row>5</xdr:row>
                    <xdr:rowOff>182880</xdr:rowOff>
                  </from>
                  <to>
                    <xdr:col>40</xdr:col>
                    <xdr:colOff>153619</xdr:colOff>
                    <xdr:row>7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52</xdr:col>
                    <xdr:colOff>21946</xdr:colOff>
                    <xdr:row>5</xdr:row>
                    <xdr:rowOff>146304</xdr:rowOff>
                  </from>
                  <to>
                    <xdr:col>61</xdr:col>
                    <xdr:colOff>102413</xdr:colOff>
                    <xdr:row>7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3</xdr:col>
                    <xdr:colOff>29261</xdr:colOff>
                    <xdr:row>29</xdr:row>
                    <xdr:rowOff>51206</xdr:rowOff>
                  </from>
                  <to>
                    <xdr:col>70</xdr:col>
                    <xdr:colOff>36576</xdr:colOff>
                    <xdr:row>53</xdr:row>
                    <xdr:rowOff>36576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Group Box 6">
              <controlPr defaultSize="0" autoFill="0" autoPict="0">
                <anchor moveWithCells="1">
                  <from>
                    <xdr:col>3</xdr:col>
                    <xdr:colOff>7315</xdr:colOff>
                    <xdr:row>53</xdr:row>
                    <xdr:rowOff>95098</xdr:rowOff>
                  </from>
                  <to>
                    <xdr:col>70</xdr:col>
                    <xdr:colOff>21946</xdr:colOff>
                    <xdr:row>77</xdr:row>
                    <xdr:rowOff>87782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4</xdr:col>
                    <xdr:colOff>65837</xdr:colOff>
                    <xdr:row>30</xdr:row>
                    <xdr:rowOff>0</xdr:rowOff>
                  </from>
                  <to>
                    <xdr:col>9</xdr:col>
                    <xdr:colOff>29261</xdr:colOff>
                    <xdr:row>31</xdr:row>
                    <xdr:rowOff>58522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9</xdr:col>
                    <xdr:colOff>95098</xdr:colOff>
                    <xdr:row>30</xdr:row>
                    <xdr:rowOff>7315</xdr:rowOff>
                  </from>
                  <to>
                    <xdr:col>13</xdr:col>
                    <xdr:colOff>65837</xdr:colOff>
                    <xdr:row>31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13</xdr:col>
                    <xdr:colOff>117043</xdr:colOff>
                    <xdr:row>30</xdr:row>
                    <xdr:rowOff>7315</xdr:rowOff>
                  </from>
                  <to>
                    <xdr:col>17</xdr:col>
                    <xdr:colOff>36576</xdr:colOff>
                    <xdr:row>31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 moveWithCells="1">
                  <from>
                    <xdr:col>19</xdr:col>
                    <xdr:colOff>160934</xdr:colOff>
                    <xdr:row>29</xdr:row>
                    <xdr:rowOff>182880</xdr:rowOff>
                  </from>
                  <to>
                    <xdr:col>23</xdr:col>
                    <xdr:colOff>117043</xdr:colOff>
                    <xdr:row>31</xdr:row>
                    <xdr:rowOff>36576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 moveWithCells="1">
                  <from>
                    <xdr:col>17</xdr:col>
                    <xdr:colOff>0</xdr:colOff>
                    <xdr:row>29</xdr:row>
                    <xdr:rowOff>182880</xdr:rowOff>
                  </from>
                  <to>
                    <xdr:col>20</xdr:col>
                    <xdr:colOff>65837</xdr:colOff>
                    <xdr:row>31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>
                <anchor moveWithCells="1">
                  <from>
                    <xdr:col>23</xdr:col>
                    <xdr:colOff>117043</xdr:colOff>
                    <xdr:row>30</xdr:row>
                    <xdr:rowOff>36576</xdr:rowOff>
                  </from>
                  <to>
                    <xdr:col>32</xdr:col>
                    <xdr:colOff>87782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32</xdr:col>
                    <xdr:colOff>21946</xdr:colOff>
                    <xdr:row>30</xdr:row>
                    <xdr:rowOff>0</xdr:rowOff>
                  </from>
                  <to>
                    <xdr:col>37</xdr:col>
                    <xdr:colOff>29261</xdr:colOff>
                    <xdr:row>31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37</xdr:col>
                    <xdr:colOff>51206</xdr:colOff>
                    <xdr:row>29</xdr:row>
                    <xdr:rowOff>182880</xdr:rowOff>
                  </from>
                  <to>
                    <xdr:col>41</xdr:col>
                    <xdr:colOff>168250</xdr:colOff>
                    <xdr:row>31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>
                <anchor moveWithCells="1">
                  <from>
                    <xdr:col>42</xdr:col>
                    <xdr:colOff>0</xdr:colOff>
                    <xdr:row>30</xdr:row>
                    <xdr:rowOff>0</xdr:rowOff>
                  </from>
                  <to>
                    <xdr:col>47</xdr:col>
                    <xdr:colOff>153619</xdr:colOff>
                    <xdr:row>31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8" name="Check Box 26">
              <controlPr defaultSize="0" autoFill="0" autoLine="0" autoPict="0">
                <anchor moveWithCells="1">
                  <from>
                    <xdr:col>47</xdr:col>
                    <xdr:colOff>160934</xdr:colOff>
                    <xdr:row>29</xdr:row>
                    <xdr:rowOff>182880</xdr:rowOff>
                  </from>
                  <to>
                    <xdr:col>52</xdr:col>
                    <xdr:colOff>51206</xdr:colOff>
                    <xdr:row>31</xdr:row>
                    <xdr:rowOff>36576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52</xdr:col>
                    <xdr:colOff>29261</xdr:colOff>
                    <xdr:row>29</xdr:row>
                    <xdr:rowOff>168250</xdr:rowOff>
                  </from>
                  <to>
                    <xdr:col>59</xdr:col>
                    <xdr:colOff>21946</xdr:colOff>
                    <xdr:row>31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59</xdr:col>
                    <xdr:colOff>29261</xdr:colOff>
                    <xdr:row>29</xdr:row>
                    <xdr:rowOff>182880</xdr:rowOff>
                  </from>
                  <to>
                    <xdr:col>66</xdr:col>
                    <xdr:colOff>21946</xdr:colOff>
                    <xdr:row>31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4</xdr:col>
                    <xdr:colOff>36576</xdr:colOff>
                    <xdr:row>54</xdr:row>
                    <xdr:rowOff>153619</xdr:rowOff>
                  </from>
                  <to>
                    <xdr:col>9</xdr:col>
                    <xdr:colOff>0</xdr:colOff>
                    <xdr:row>56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9</xdr:col>
                    <xdr:colOff>65837</xdr:colOff>
                    <xdr:row>55</xdr:row>
                    <xdr:rowOff>0</xdr:rowOff>
                  </from>
                  <to>
                    <xdr:col>13</xdr:col>
                    <xdr:colOff>36576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13</xdr:col>
                    <xdr:colOff>87782</xdr:colOff>
                    <xdr:row>55</xdr:row>
                    <xdr:rowOff>0</xdr:rowOff>
                  </from>
                  <to>
                    <xdr:col>17</xdr:col>
                    <xdr:colOff>7315</xdr:colOff>
                    <xdr:row>56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19</xdr:col>
                    <xdr:colOff>131674</xdr:colOff>
                    <xdr:row>54</xdr:row>
                    <xdr:rowOff>168250</xdr:rowOff>
                  </from>
                  <to>
                    <xdr:col>23</xdr:col>
                    <xdr:colOff>87782</xdr:colOff>
                    <xdr:row>56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16</xdr:col>
                    <xdr:colOff>146304</xdr:colOff>
                    <xdr:row>54</xdr:row>
                    <xdr:rowOff>182880</xdr:rowOff>
                  </from>
                  <to>
                    <xdr:col>20</xdr:col>
                    <xdr:colOff>29261</xdr:colOff>
                    <xdr:row>56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23</xdr:col>
                    <xdr:colOff>73152</xdr:colOff>
                    <xdr:row>55</xdr:row>
                    <xdr:rowOff>29261</xdr:rowOff>
                  </from>
                  <to>
                    <xdr:col>32</xdr:col>
                    <xdr:colOff>51206</xdr:colOff>
                    <xdr:row>55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31</xdr:col>
                    <xdr:colOff>168250</xdr:colOff>
                    <xdr:row>54</xdr:row>
                    <xdr:rowOff>182880</xdr:rowOff>
                  </from>
                  <to>
                    <xdr:col>37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37</xdr:col>
                    <xdr:colOff>7315</xdr:colOff>
                    <xdr:row>55</xdr:row>
                    <xdr:rowOff>0</xdr:rowOff>
                  </from>
                  <to>
                    <xdr:col>41</xdr:col>
                    <xdr:colOff>131674</xdr:colOff>
                    <xdr:row>56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41</xdr:col>
                    <xdr:colOff>153619</xdr:colOff>
                    <xdr:row>54</xdr:row>
                    <xdr:rowOff>182880</xdr:rowOff>
                  </from>
                  <to>
                    <xdr:col>47</xdr:col>
                    <xdr:colOff>124358</xdr:colOff>
                    <xdr:row>56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47</xdr:col>
                    <xdr:colOff>131674</xdr:colOff>
                    <xdr:row>54</xdr:row>
                    <xdr:rowOff>168250</xdr:rowOff>
                  </from>
                  <to>
                    <xdr:col>52</xdr:col>
                    <xdr:colOff>21946</xdr:colOff>
                    <xdr:row>56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52</xdr:col>
                    <xdr:colOff>0</xdr:colOff>
                    <xdr:row>54</xdr:row>
                    <xdr:rowOff>160934</xdr:rowOff>
                  </from>
                  <to>
                    <xdr:col>58</xdr:col>
                    <xdr:colOff>168250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59</xdr:col>
                    <xdr:colOff>0</xdr:colOff>
                    <xdr:row>54</xdr:row>
                    <xdr:rowOff>168250</xdr:rowOff>
                  </from>
                  <to>
                    <xdr:col>65</xdr:col>
                    <xdr:colOff>168250</xdr:colOff>
                    <xdr:row>56</xdr:row>
                    <xdr:rowOff>21946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9341-6BA2-4E18-B8E6-4B42C975061D}">
  <dimension ref="A1:AT342"/>
  <sheetViews>
    <sheetView topLeftCell="U1" workbookViewId="0">
      <selection activeCell="AJ13" sqref="AJ13"/>
    </sheetView>
  </sheetViews>
  <sheetFormatPr defaultRowHeight="14.4" x14ac:dyDescent="0.3"/>
  <cols>
    <col min="2" max="2" width="35.09765625" customWidth="1"/>
    <col min="3" max="4" width="12.69921875" bestFit="1" customWidth="1"/>
    <col min="5" max="5" width="13.8984375" bestFit="1" customWidth="1"/>
    <col min="6" max="6" width="10.59765625" bestFit="1" customWidth="1"/>
    <col min="7" max="7" width="10.69921875" customWidth="1"/>
    <col min="8" max="8" width="9.3984375" customWidth="1"/>
    <col min="9" max="9" width="34.296875" customWidth="1"/>
    <col min="10" max="10" width="11.69921875" bestFit="1" customWidth="1"/>
    <col min="11" max="11" width="11.3984375" customWidth="1"/>
    <col min="12" max="12" width="12.69921875" bestFit="1" customWidth="1"/>
    <col min="17" max="17" width="34.09765625" customWidth="1"/>
    <col min="18" max="18" width="12.8984375" customWidth="1"/>
    <col min="22" max="22" width="10.09765625" customWidth="1"/>
    <col min="32" max="32" width="12.296875" customWidth="1"/>
    <col min="33" max="33" width="35.09765625" bestFit="1" customWidth="1"/>
  </cols>
  <sheetData>
    <row r="1" spans="1:46" x14ac:dyDescent="0.3">
      <c r="B1" s="15" t="s">
        <v>17</v>
      </c>
      <c r="C1" s="15"/>
      <c r="D1" s="15"/>
      <c r="E1" s="15"/>
      <c r="F1" s="1">
        <v>1000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</row>
    <row r="2" spans="1:46" x14ac:dyDescent="0.3">
      <c r="B2" t="s">
        <v>30</v>
      </c>
      <c r="C2" t="s">
        <v>18</v>
      </c>
      <c r="D2" t="s">
        <v>15</v>
      </c>
      <c r="E2" t="s">
        <v>16</v>
      </c>
      <c r="F2" t="s">
        <v>19</v>
      </c>
      <c r="G2" t="s">
        <v>29</v>
      </c>
      <c r="H2" t="s">
        <v>28</v>
      </c>
      <c r="I2" t="s">
        <v>31</v>
      </c>
      <c r="M2" t="s">
        <v>23</v>
      </c>
      <c r="N2">
        <v>3</v>
      </c>
      <c r="Q2" t="s">
        <v>32</v>
      </c>
      <c r="R2" t="s">
        <v>34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E2">
        <v>2022</v>
      </c>
      <c r="AG2" t="s">
        <v>32</v>
      </c>
      <c r="AH2">
        <v>2010</v>
      </c>
      <c r="AI2">
        <v>2011</v>
      </c>
      <c r="AJ2">
        <v>2012</v>
      </c>
      <c r="AK2">
        <v>2013</v>
      </c>
      <c r="AL2">
        <v>2014</v>
      </c>
      <c r="AM2">
        <v>2015</v>
      </c>
      <c r="AN2">
        <v>2016</v>
      </c>
      <c r="AO2">
        <v>2017</v>
      </c>
      <c r="AP2">
        <v>2018</v>
      </c>
      <c r="AQ2">
        <v>2019</v>
      </c>
      <c r="AR2">
        <v>2020</v>
      </c>
      <c r="AS2">
        <v>2021</v>
      </c>
      <c r="AT2">
        <v>2022</v>
      </c>
    </row>
    <row r="3" spans="1:46" x14ac:dyDescent="0.3">
      <c r="A3" t="s">
        <v>27</v>
      </c>
      <c r="B3" t="s">
        <v>2</v>
      </c>
      <c r="C3" s="3">
        <f>3727490/1000</f>
        <v>3727.49</v>
      </c>
      <c r="D3" s="3">
        <f>1415841/I16</f>
        <v>1415.8409999999999</v>
      </c>
      <c r="E3" s="3">
        <f>11017879/F1</f>
        <v>11017.879000000001</v>
      </c>
      <c r="F3" s="3">
        <v>1</v>
      </c>
      <c r="G3" s="5">
        <f>D3/C3</f>
        <v>0.37983763873276655</v>
      </c>
      <c r="H3" s="5">
        <f>D3/E3</f>
        <v>0.12850395253024649</v>
      </c>
      <c r="I3" s="16" t="str">
        <f>IF(N2=1,B1,IF(N2=2,B14,B27))</f>
        <v>Top 10 cursos mais ingressantes</v>
      </c>
      <c r="J3" s="16"/>
      <c r="K3" s="16"/>
      <c r="L3" s="16"/>
      <c r="Q3" s="10" t="s">
        <v>2</v>
      </c>
      <c r="R3" t="b">
        <v>1</v>
      </c>
      <c r="S3" s="3">
        <f>121110/1000</f>
        <v>121.11</v>
      </c>
      <c r="T3" s="3">
        <f>126268/1000</f>
        <v>126.268</v>
      </c>
      <c r="U3" s="3">
        <f>133896/1000</f>
        <v>133.89599999999999</v>
      </c>
      <c r="V3" s="3">
        <f>116035/1000</f>
        <v>116.035</v>
      </c>
      <c r="W3" s="3">
        <f>112023/1000</f>
        <v>112.023</v>
      </c>
      <c r="X3" s="3">
        <f>124854/1000</f>
        <v>124.854</v>
      </c>
      <c r="Y3" s="3">
        <f>118084/1000</f>
        <v>118.084</v>
      </c>
      <c r="Z3" s="3">
        <f>112145/1000</f>
        <v>112.145</v>
      </c>
      <c r="AA3" s="3">
        <f>103342/1000</f>
        <v>103.342</v>
      </c>
      <c r="AB3" s="3">
        <f>91937/1000</f>
        <v>91.936999999999998</v>
      </c>
      <c r="AC3" s="3">
        <f>90971/1000</f>
        <v>90.971000000000004</v>
      </c>
      <c r="AD3" s="3">
        <f>85427/1000</f>
        <v>85.427000000000007</v>
      </c>
      <c r="AE3" s="3">
        <f>79749/1000</f>
        <v>79.748999999999995</v>
      </c>
      <c r="AG3" s="10" t="s">
        <v>2</v>
      </c>
      <c r="AH3" s="11">
        <f>IF($R3=TRUE,VLOOKUP($R3,$R$3:$AE$3,S$1,),0)</f>
        <v>121.11</v>
      </c>
      <c r="AI3" s="11">
        <f t="shared" ref="AI3:AT3" si="0">IF($R3=TRUE,VLOOKUP($R3,$R$3:$AE$3,T$1,),0)</f>
        <v>126.268</v>
      </c>
      <c r="AJ3" s="11">
        <f t="shared" si="0"/>
        <v>133.89599999999999</v>
      </c>
      <c r="AK3" s="11">
        <f t="shared" si="0"/>
        <v>116.035</v>
      </c>
      <c r="AL3" s="11">
        <f t="shared" si="0"/>
        <v>112.023</v>
      </c>
      <c r="AM3" s="11">
        <f t="shared" si="0"/>
        <v>124.854</v>
      </c>
      <c r="AN3" s="11">
        <f t="shared" si="0"/>
        <v>118.084</v>
      </c>
      <c r="AO3" s="11">
        <f t="shared" si="0"/>
        <v>112.145</v>
      </c>
      <c r="AP3" s="11">
        <f t="shared" si="0"/>
        <v>103.342</v>
      </c>
      <c r="AQ3" s="11">
        <f t="shared" si="0"/>
        <v>91.936999999999998</v>
      </c>
      <c r="AR3" s="11">
        <f t="shared" si="0"/>
        <v>90.971000000000004</v>
      </c>
      <c r="AS3" s="11">
        <f t="shared" si="0"/>
        <v>85.427000000000007</v>
      </c>
      <c r="AT3" s="11">
        <f t="shared" si="0"/>
        <v>79.748999999999995</v>
      </c>
    </row>
    <row r="4" spans="1:46" x14ac:dyDescent="0.3">
      <c r="A4" t="s">
        <v>27</v>
      </c>
      <c r="B4" t="s">
        <v>3</v>
      </c>
      <c r="C4" s="3">
        <f>3622360/1000</f>
        <v>3622.36</v>
      </c>
      <c r="D4" s="3">
        <f>1604606/F1</f>
        <v>1604.606</v>
      </c>
      <c r="E4" s="3">
        <f>8813832/F1</f>
        <v>8813.8320000000003</v>
      </c>
      <c r="F4" s="3">
        <v>2</v>
      </c>
      <c r="G4" s="5">
        <f t="shared" ref="G4:G12" si="1">D4/C4</f>
        <v>0.44297253724091473</v>
      </c>
      <c r="H4" s="5">
        <f t="shared" ref="H4:H12" si="2">D4/E4</f>
        <v>0.18205543286960768</v>
      </c>
      <c r="I4" s="5" t="str">
        <f>IF($I$3=$B$1,HLOOKUP($I$3,$B$1:$F$12,F3+1,FALSE),IF($I$3=$B$14,HLOOKUP($I$3,$B$14:$F$25,F3+1,FALSE),HLOOKUP($I$3,$B$27:$F$38,F3+1,FALSE)))</f>
        <v>Curso</v>
      </c>
      <c r="J4" t="str">
        <f>IF($I$3=$B$1,VLOOKUP($I4,$B$2:$F$12,2,FALSE),IF($I$3=$B$14,VLOOKUP($I4,$B$15:$F$25,2,FALSE),VLOOKUP($I4,$B$28:$F$38,2,FALSE)))</f>
        <v>inscritos</v>
      </c>
      <c r="K4" t="str">
        <f>IF($I$3=$B$1,VLOOKUP($I4,$B$2:$F$12,3,FALSE),IF($I$3=$B$14,VLOOKUP($I4,$B$15:$F$25,3,FALSE),VLOOKUP($I4,$B$28:$F$38,3,FALSE)))</f>
        <v>Formandos</v>
      </c>
      <c r="L4" t="str">
        <f>IF($I$3=$B$1,VLOOKUP($I4,$B$2:$F$12,4,FALSE),IF($I$3=$B$14,VLOOKUP($I4,$B$15:$F$25,4,FALSE),VLOOKUP($I4,$B$28:$F$38,4,FALSE)))</f>
        <v>Vagas</v>
      </c>
      <c r="O4">
        <v>1000</v>
      </c>
      <c r="Q4" s="10" t="s">
        <v>3</v>
      </c>
      <c r="R4" t="b">
        <v>0</v>
      </c>
      <c r="S4" s="3">
        <f>107467/1000</f>
        <v>107.467</v>
      </c>
      <c r="T4" s="3">
        <f>117852/1000</f>
        <v>117.852</v>
      </c>
      <c r="U4" s="3">
        <f>111027/1000</f>
        <v>111.027</v>
      </c>
      <c r="V4" s="3">
        <f>94451/1000</f>
        <v>94.450999999999993</v>
      </c>
      <c r="W4" s="3">
        <f>102762/1000</f>
        <v>102.762</v>
      </c>
      <c r="X4" s="3">
        <f>121902/1000</f>
        <v>121.902</v>
      </c>
      <c r="Y4" s="3">
        <f>124392/1000</f>
        <v>124.392</v>
      </c>
      <c r="Z4" s="3">
        <f>124781/O4</f>
        <v>124.78100000000001</v>
      </c>
      <c r="AA4" s="3">
        <f>122478/O4</f>
        <v>122.47799999999999</v>
      </c>
      <c r="AB4" s="3">
        <f>124409/O4</f>
        <v>124.40900000000001</v>
      </c>
      <c r="AC4" s="3">
        <f>136033/O4</f>
        <v>136.03299999999999</v>
      </c>
      <c r="AD4" s="3">
        <f>165439/O4</f>
        <v>165.43899999999999</v>
      </c>
      <c r="AE4" s="3">
        <f>151613/O4</f>
        <v>151.613</v>
      </c>
      <c r="AG4" s="10" t="s">
        <v>3</v>
      </c>
      <c r="AH4" s="11">
        <f>IF($R4=TRUE,VLOOKUP($R4,$R$4:$AE$4,S$1,),0)</f>
        <v>0</v>
      </c>
      <c r="AI4" s="11">
        <f t="shared" ref="AI4:AT4" si="3">IF($R4=TRUE,VLOOKUP($R4,$R$4:$AE$4,T$1,),0)</f>
        <v>0</v>
      </c>
      <c r="AJ4" s="11">
        <f t="shared" si="3"/>
        <v>0</v>
      </c>
      <c r="AK4" s="11">
        <f t="shared" si="3"/>
        <v>0</v>
      </c>
      <c r="AL4" s="11">
        <f t="shared" si="3"/>
        <v>0</v>
      </c>
      <c r="AM4" s="11">
        <f t="shared" si="3"/>
        <v>0</v>
      </c>
      <c r="AN4" s="11">
        <f t="shared" si="3"/>
        <v>0</v>
      </c>
      <c r="AO4" s="11">
        <f t="shared" si="3"/>
        <v>0</v>
      </c>
      <c r="AP4" s="11">
        <f t="shared" si="3"/>
        <v>0</v>
      </c>
      <c r="AQ4" s="11">
        <f t="shared" si="3"/>
        <v>0</v>
      </c>
      <c r="AR4" s="11">
        <f t="shared" si="3"/>
        <v>0</v>
      </c>
      <c r="AS4" s="11">
        <f t="shared" si="3"/>
        <v>0</v>
      </c>
      <c r="AT4" s="11">
        <f t="shared" si="3"/>
        <v>0</v>
      </c>
    </row>
    <row r="5" spans="1:46" x14ac:dyDescent="0.3">
      <c r="A5" t="s">
        <v>27</v>
      </c>
      <c r="B5" t="s">
        <v>5</v>
      </c>
      <c r="C5" s="3">
        <f>1758292/I16</f>
        <v>1758.2919999999999</v>
      </c>
      <c r="D5" s="3">
        <f>621954/F1</f>
        <v>621.95399999999995</v>
      </c>
      <c r="E5" s="3">
        <f>6034284/F1</f>
        <v>6034.2839999999997</v>
      </c>
      <c r="F5" s="3">
        <v>3</v>
      </c>
      <c r="G5" s="5">
        <f t="shared" si="1"/>
        <v>0.35372622977298424</v>
      </c>
      <c r="H5" s="5">
        <f t="shared" si="2"/>
        <v>0.10307005769035729</v>
      </c>
      <c r="I5" s="5" t="str">
        <f t="shared" ref="I5:I13" si="4">IF($I$3=$B$1,HLOOKUP($I$3,$B$1:$F$12,F4+1,FALSE),IF($I$3=$B$14,HLOOKUP($I$3,$B$14:$F$25,F4+1,FALSE),HLOOKUP($I$3,$B$27:$F$38,F4+1,FALSE)))</f>
        <v>Administração</v>
      </c>
      <c r="J5" s="3">
        <f t="shared" ref="J5:J14" si="5">IF($I$3=$B$1,VLOOKUP($I5,$B$2:$F$12,2,FALSE),IF($I$3=$B$14,VLOOKUP($I5,$B$15:$F$25,2,FALSE),VLOOKUP($I5,$B$28:$F$38,2,FALSE)))</f>
        <v>3727.49</v>
      </c>
      <c r="K5" s="3">
        <f t="shared" ref="K5:K14" si="6">IF($I$3=$B$1,VLOOKUP($I5,$B$2:$F$12,3,FALSE),IF($I$3=$B$14,VLOOKUP($I5,$B$15:$F$25,3,FALSE),VLOOKUP($I5,$B$28:$F$38,3,FALSE)))</f>
        <v>1415.8409999999999</v>
      </c>
      <c r="L5" s="3">
        <f t="shared" ref="L5:L14" si="7">IF($I$3=$B$1,VLOOKUP($I5,$B$2:$F$12,4,FALSE),IF($I$3=$B$14,VLOOKUP($I5,$B$15:$F$25,4,FALSE),VLOOKUP($I5,$B$28:$F$38,4,FALSE)))</f>
        <v>11017.879000000001</v>
      </c>
      <c r="Q5" s="10" t="s">
        <v>13</v>
      </c>
      <c r="R5" t="b">
        <v>0</v>
      </c>
      <c r="S5" s="3">
        <f>16495/1000</f>
        <v>16.495000000000001</v>
      </c>
      <c r="T5" s="3">
        <f>16180/1000</f>
        <v>16.18</v>
      </c>
      <c r="U5" s="3">
        <f>20028/1000</f>
        <v>20.027999999999999</v>
      </c>
      <c r="V5" s="3">
        <f>21405/1000</f>
        <v>21.405000000000001</v>
      </c>
      <c r="W5" s="3">
        <f>19780/1000</f>
        <v>19.78</v>
      </c>
      <c r="X5" s="3">
        <f>24089/O4</f>
        <v>24.088999999999999</v>
      </c>
      <c r="Y5" s="3">
        <f>20770/1000</f>
        <v>20.77</v>
      </c>
      <c r="Z5" s="3">
        <f>17546/O4</f>
        <v>17.545999999999999</v>
      </c>
      <c r="AA5" s="3">
        <f>17863/O4</f>
        <v>17.863</v>
      </c>
      <c r="AB5" s="3">
        <f>18066/O4</f>
        <v>18.065999999999999</v>
      </c>
      <c r="AC5" s="3">
        <f>22703/O4</f>
        <v>22.702999999999999</v>
      </c>
      <c r="AD5" s="3">
        <f>22701/O4</f>
        <v>22.701000000000001</v>
      </c>
      <c r="AE5" s="3">
        <f>21302/O4</f>
        <v>21.302</v>
      </c>
      <c r="AG5" s="10" t="s">
        <v>13</v>
      </c>
      <c r="AH5" s="11">
        <f>IF($R5=TRUE,VLOOKUP($R5,$R$5:$AE$5,S$1,),)</f>
        <v>0</v>
      </c>
      <c r="AI5" s="11">
        <f t="shared" ref="AI5:AT5" si="8">IF($R5=TRUE,VLOOKUP($R5,$R$5:$AE$5,T$1,),0)</f>
        <v>0</v>
      </c>
      <c r="AJ5" s="11">
        <f t="shared" si="8"/>
        <v>0</v>
      </c>
      <c r="AK5" s="11">
        <f t="shared" si="8"/>
        <v>0</v>
      </c>
      <c r="AL5" s="11">
        <f t="shared" si="8"/>
        <v>0</v>
      </c>
      <c r="AM5" s="11">
        <f t="shared" si="8"/>
        <v>0</v>
      </c>
      <c r="AN5" s="11">
        <f t="shared" si="8"/>
        <v>0</v>
      </c>
      <c r="AO5" s="11">
        <f t="shared" si="8"/>
        <v>0</v>
      </c>
      <c r="AP5" s="11">
        <f t="shared" si="8"/>
        <v>0</v>
      </c>
      <c r="AQ5" s="11">
        <f t="shared" si="8"/>
        <v>0</v>
      </c>
      <c r="AR5" s="11">
        <f t="shared" si="8"/>
        <v>0</v>
      </c>
      <c r="AS5" s="11">
        <f t="shared" si="8"/>
        <v>0</v>
      </c>
      <c r="AT5" s="11">
        <f t="shared" si="8"/>
        <v>0</v>
      </c>
    </row>
    <row r="6" spans="1:46" x14ac:dyDescent="0.3">
      <c r="A6" t="s">
        <v>27</v>
      </c>
      <c r="B6" t="s">
        <v>4</v>
      </c>
      <c r="C6" s="3">
        <f>3046924/I16</f>
        <v>3046.924</v>
      </c>
      <c r="D6" s="3">
        <f>1401208/F1</f>
        <v>1401.2080000000001</v>
      </c>
      <c r="E6" s="3">
        <f>4982271/F1</f>
        <v>4982.2709999999997</v>
      </c>
      <c r="F6" s="3">
        <v>4</v>
      </c>
      <c r="G6" s="5">
        <f t="shared" si="1"/>
        <v>0.45987625552852651</v>
      </c>
      <c r="H6" s="5">
        <f t="shared" si="2"/>
        <v>0.28123881659588573</v>
      </c>
      <c r="I6" s="5" t="str">
        <f t="shared" si="4"/>
        <v>Pedagogia</v>
      </c>
      <c r="J6" s="3">
        <f t="shared" si="5"/>
        <v>3622.36</v>
      </c>
      <c r="K6" s="3">
        <f t="shared" si="6"/>
        <v>1604.606</v>
      </c>
      <c r="L6" s="3">
        <f t="shared" si="7"/>
        <v>8813.8320000000003</v>
      </c>
      <c r="Q6" s="10" t="s">
        <v>4</v>
      </c>
      <c r="R6" t="b">
        <v>0</v>
      </c>
      <c r="S6" s="3">
        <f>91272/1000</f>
        <v>91.272000000000006</v>
      </c>
      <c r="T6" s="3">
        <f>95064/1000</f>
        <v>95.063999999999993</v>
      </c>
      <c r="U6" s="3">
        <f>97926/1000</f>
        <v>97.926000000000002</v>
      </c>
      <c r="V6" s="3">
        <f>95118/1000</f>
        <v>95.117999999999995</v>
      </c>
      <c r="W6" s="3">
        <f>95701/1000</f>
        <v>95.700999999999993</v>
      </c>
      <c r="X6" s="3">
        <f>105324/1000</f>
        <v>105.324</v>
      </c>
      <c r="Y6" s="3">
        <f>107909/1000</f>
        <v>107.90900000000001</v>
      </c>
      <c r="Z6" s="3">
        <f>113864/O4</f>
        <v>113.864</v>
      </c>
      <c r="AA6" s="3">
        <f>126176/O4</f>
        <v>126.176</v>
      </c>
      <c r="AB6" s="3">
        <f>121215/O4</f>
        <v>121.215</v>
      </c>
      <c r="AC6" s="3">
        <f>124463/O4</f>
        <v>124.46299999999999</v>
      </c>
      <c r="AD6" s="3">
        <f>115239/O4</f>
        <v>115.239</v>
      </c>
      <c r="AE6" s="3">
        <f>111937/O4</f>
        <v>111.937</v>
      </c>
      <c r="AG6" s="10" t="s">
        <v>4</v>
      </c>
      <c r="AH6" s="11">
        <f>IF($R6=TRUE,VLOOKUP($R6,$R$6:$AE$6,S$1,),0)</f>
        <v>0</v>
      </c>
      <c r="AI6" s="11">
        <f t="shared" ref="AI6:AT6" si="9">IF($R6=TRUE,VLOOKUP($R6,$R$6:$AE$6,T$1,),0)</f>
        <v>0</v>
      </c>
      <c r="AJ6" s="11">
        <f t="shared" si="9"/>
        <v>0</v>
      </c>
      <c r="AK6" s="11">
        <f t="shared" si="9"/>
        <v>0</v>
      </c>
      <c r="AL6" s="11">
        <f t="shared" si="9"/>
        <v>0</v>
      </c>
      <c r="AM6" s="11">
        <f t="shared" si="9"/>
        <v>0</v>
      </c>
      <c r="AN6" s="11">
        <f t="shared" si="9"/>
        <v>0</v>
      </c>
      <c r="AO6" s="11">
        <f t="shared" si="9"/>
        <v>0</v>
      </c>
      <c r="AP6" s="11">
        <f t="shared" si="9"/>
        <v>0</v>
      </c>
      <c r="AQ6" s="11">
        <f t="shared" si="9"/>
        <v>0</v>
      </c>
      <c r="AR6" s="11">
        <f t="shared" si="9"/>
        <v>0</v>
      </c>
      <c r="AS6" s="11">
        <f t="shared" si="9"/>
        <v>0</v>
      </c>
      <c r="AT6" s="11">
        <f t="shared" si="9"/>
        <v>0</v>
      </c>
    </row>
    <row r="7" spans="1:46" x14ac:dyDescent="0.3">
      <c r="A7" t="s">
        <v>27</v>
      </c>
      <c r="B7" t="s">
        <v>8</v>
      </c>
      <c r="C7" s="3">
        <f>1261689/I16</f>
        <v>1261.6890000000001</v>
      </c>
      <c r="D7" s="3">
        <f>322816/F1</f>
        <v>322.81599999999997</v>
      </c>
      <c r="E7" s="3">
        <f>4748351/F1</f>
        <v>4748.3509999999997</v>
      </c>
      <c r="F7" s="3">
        <v>5</v>
      </c>
      <c r="G7" s="5">
        <f t="shared" si="1"/>
        <v>0.25586020009685428</v>
      </c>
      <c r="H7" s="5">
        <f t="shared" si="2"/>
        <v>6.7984864640377257E-2</v>
      </c>
      <c r="I7" s="5" t="str">
        <f t="shared" si="4"/>
        <v>Direito</v>
      </c>
      <c r="J7" s="3">
        <f t="shared" si="5"/>
        <v>3046.924</v>
      </c>
      <c r="K7" s="3">
        <f t="shared" si="6"/>
        <v>1401.2080000000001</v>
      </c>
      <c r="L7" s="3">
        <f t="shared" si="7"/>
        <v>4982.2709999999997</v>
      </c>
      <c r="Q7" s="10" t="s">
        <v>14</v>
      </c>
      <c r="R7" t="b">
        <v>0</v>
      </c>
      <c r="S7" s="3">
        <f>11919/1000</f>
        <v>11.919</v>
      </c>
      <c r="T7" s="3">
        <f>10623/1000</f>
        <v>10.622999999999999</v>
      </c>
      <c r="U7" s="3">
        <f>10832/1000</f>
        <v>10.832000000000001</v>
      </c>
      <c r="V7" s="3">
        <f>11302/1000</f>
        <v>11.302</v>
      </c>
      <c r="W7" s="3">
        <f>11254/1000</f>
        <v>11.254</v>
      </c>
      <c r="X7" s="3">
        <f>10591/1000</f>
        <v>10.590999999999999</v>
      </c>
      <c r="Y7" s="3">
        <f>10166/1000</f>
        <v>10.166</v>
      </c>
      <c r="Z7" s="3">
        <f>8829/O4</f>
        <v>8.8290000000000006</v>
      </c>
      <c r="AA7" s="3">
        <f>11086/O4</f>
        <v>11.086</v>
      </c>
      <c r="AB7" s="3">
        <f>11132/O4</f>
        <v>11.132</v>
      </c>
      <c r="AC7" s="3">
        <f>14696/O4</f>
        <v>14.696</v>
      </c>
      <c r="AD7" s="3">
        <f>14434/O4</f>
        <v>14.433999999999999</v>
      </c>
      <c r="AE7" s="3">
        <f>14942/O4</f>
        <v>14.942</v>
      </c>
      <c r="AG7" s="10" t="s">
        <v>14</v>
      </c>
      <c r="AH7" s="11">
        <f>IF($R7=TRUE,VLOOKUP($R7,$R$7:$AE$7,S$1,),0)</f>
        <v>0</v>
      </c>
      <c r="AI7" s="11">
        <f t="shared" ref="AI7:AT7" si="10">IF($R7=TRUE,VLOOKUP($R7,$R$7:$AE$7,T$1,),0)</f>
        <v>0</v>
      </c>
      <c r="AJ7" s="11">
        <f t="shared" si="10"/>
        <v>0</v>
      </c>
      <c r="AK7" s="11">
        <f t="shared" si="10"/>
        <v>0</v>
      </c>
      <c r="AL7" s="11">
        <f t="shared" si="10"/>
        <v>0</v>
      </c>
      <c r="AM7" s="11">
        <f t="shared" si="10"/>
        <v>0</v>
      </c>
      <c r="AN7" s="11">
        <f t="shared" si="10"/>
        <v>0</v>
      </c>
      <c r="AO7" s="11">
        <f t="shared" si="10"/>
        <v>0</v>
      </c>
      <c r="AP7" s="11">
        <f t="shared" si="10"/>
        <v>0</v>
      </c>
      <c r="AQ7" s="11">
        <f t="shared" si="10"/>
        <v>0</v>
      </c>
      <c r="AR7" s="11">
        <f t="shared" si="10"/>
        <v>0</v>
      </c>
      <c r="AS7" s="11">
        <f t="shared" si="10"/>
        <v>0</v>
      </c>
      <c r="AT7" s="11">
        <f t="shared" si="10"/>
        <v>0</v>
      </c>
    </row>
    <row r="8" spans="1:46" x14ac:dyDescent="0.3">
      <c r="A8" t="s">
        <v>27</v>
      </c>
      <c r="B8" t="s">
        <v>7</v>
      </c>
      <c r="C8" s="3">
        <f>1425967/1000</f>
        <v>1425.9670000000001</v>
      </c>
      <c r="D8" s="3">
        <f>521810/F1</f>
        <v>521.80999999999995</v>
      </c>
      <c r="E8" s="3">
        <f>4738020/F1</f>
        <v>4738.0200000000004</v>
      </c>
      <c r="F8" s="3">
        <v>6</v>
      </c>
      <c r="G8" s="5">
        <f t="shared" si="1"/>
        <v>0.36593413452064455</v>
      </c>
      <c r="H8" s="5">
        <f t="shared" si="2"/>
        <v>0.11013250260657403</v>
      </c>
      <c r="I8" s="5" t="str">
        <f t="shared" si="4"/>
        <v>Contabilidade</v>
      </c>
      <c r="J8" s="3">
        <f t="shared" si="5"/>
        <v>1758.2919999999999</v>
      </c>
      <c r="K8" s="3">
        <f t="shared" si="6"/>
        <v>621.95399999999995</v>
      </c>
      <c r="L8" s="3">
        <f t="shared" si="7"/>
        <v>6034.2839999999997</v>
      </c>
      <c r="Q8" s="10" t="s">
        <v>12</v>
      </c>
      <c r="R8" t="b">
        <v>0</v>
      </c>
      <c r="S8" s="3">
        <f>23614/1000</f>
        <v>23.614000000000001</v>
      </c>
      <c r="T8" s="3">
        <f>22996/1000</f>
        <v>22.995999999999999</v>
      </c>
      <c r="U8" s="3">
        <f>22109/1000</f>
        <v>22.109000000000002</v>
      </c>
      <c r="V8" s="3">
        <f>19012/1000</f>
        <v>19.012</v>
      </c>
      <c r="W8" s="3">
        <f>19320/1000</f>
        <v>19.32</v>
      </c>
      <c r="X8" s="3">
        <f>21939/O4</f>
        <v>21.939</v>
      </c>
      <c r="Y8" s="3">
        <f>22333/1000</f>
        <v>22.332999999999998</v>
      </c>
      <c r="Z8" s="3">
        <f>34334/O4</f>
        <v>34.334000000000003</v>
      </c>
      <c r="AA8" s="3">
        <f>32834/O4</f>
        <v>32.834000000000003</v>
      </c>
      <c r="AB8" s="3">
        <f>29965/O4</f>
        <v>29.965</v>
      </c>
      <c r="AC8" s="3">
        <f>19722/O4</f>
        <v>19.722000000000001</v>
      </c>
      <c r="AD8" s="3">
        <f>22122/O4</f>
        <v>22.122</v>
      </c>
      <c r="AE8" s="3">
        <f>18102/O4</f>
        <v>18.102</v>
      </c>
      <c r="AG8" s="10" t="s">
        <v>12</v>
      </c>
      <c r="AH8" s="11">
        <f>IF($R8=TRUE,VLOOKUP($R8,$R$8:$AE$8,S$1,),0)</f>
        <v>0</v>
      </c>
      <c r="AI8" s="11">
        <f t="shared" ref="AI8:AT8" si="11">IF($R8=TRUE,VLOOKUP($R8,$R$8:$AE$8,T$1,),0)</f>
        <v>0</v>
      </c>
      <c r="AJ8" s="11">
        <f t="shared" si="11"/>
        <v>0</v>
      </c>
      <c r="AK8" s="11">
        <f t="shared" si="11"/>
        <v>0</v>
      </c>
      <c r="AL8" s="11">
        <f t="shared" si="11"/>
        <v>0</v>
      </c>
      <c r="AM8" s="11">
        <f t="shared" si="11"/>
        <v>0</v>
      </c>
      <c r="AN8" s="11">
        <f t="shared" si="11"/>
        <v>0</v>
      </c>
      <c r="AO8" s="11">
        <f t="shared" si="11"/>
        <v>0</v>
      </c>
      <c r="AP8" s="11">
        <f t="shared" si="11"/>
        <v>0</v>
      </c>
      <c r="AQ8" s="11">
        <f t="shared" si="11"/>
        <v>0</v>
      </c>
      <c r="AR8" s="11">
        <f t="shared" si="11"/>
        <v>0</v>
      </c>
      <c r="AS8" s="11">
        <f t="shared" si="11"/>
        <v>0</v>
      </c>
      <c r="AT8" s="11">
        <f t="shared" si="11"/>
        <v>0</v>
      </c>
    </row>
    <row r="9" spans="1:46" x14ac:dyDescent="0.3">
      <c r="A9" t="s">
        <v>27</v>
      </c>
      <c r="B9" t="s">
        <v>9</v>
      </c>
      <c r="C9" s="3">
        <f>1126582/I16</f>
        <v>1126.5820000000001</v>
      </c>
      <c r="D9" s="3">
        <f>375963/F1</f>
        <v>375.96300000000002</v>
      </c>
      <c r="E9" s="3">
        <f>3716893/F1</f>
        <v>3716.893</v>
      </c>
      <c r="F9" s="3">
        <v>7</v>
      </c>
      <c r="G9" s="5">
        <f t="shared" si="1"/>
        <v>0.33372004878473116</v>
      </c>
      <c r="H9" s="5">
        <f t="shared" si="2"/>
        <v>0.10114980441998196</v>
      </c>
      <c r="I9" s="5" t="str">
        <f t="shared" si="4"/>
        <v>Enfermagem</v>
      </c>
      <c r="J9" s="3">
        <f t="shared" si="5"/>
        <v>1512.2149999999999</v>
      </c>
      <c r="K9" s="3">
        <f t="shared" si="6"/>
        <v>528.84199999999998</v>
      </c>
      <c r="L9" s="3">
        <f t="shared" si="7"/>
        <v>3558.9079999999999</v>
      </c>
      <c r="Q9" s="10" t="s">
        <v>11</v>
      </c>
      <c r="R9" t="b">
        <v>0</v>
      </c>
      <c r="S9" s="3">
        <f>9498/1000</f>
        <v>9.4979999999999993</v>
      </c>
      <c r="T9" s="3">
        <f>11499/1000</f>
        <v>11.499000000000001</v>
      </c>
      <c r="U9" s="3">
        <f>12675/1000</f>
        <v>12.675000000000001</v>
      </c>
      <c r="V9" s="3">
        <f>10951/1000</f>
        <v>10.951000000000001</v>
      </c>
      <c r="W9" s="3">
        <f>11851/1000</f>
        <v>11.851000000000001</v>
      </c>
      <c r="X9" s="3">
        <f>14519/O4</f>
        <v>14.519</v>
      </c>
      <c r="Y9" s="3">
        <f>16755/1000</f>
        <v>16.754999999999999</v>
      </c>
      <c r="Z9" s="3">
        <f>21049/O4</f>
        <v>21.048999999999999</v>
      </c>
      <c r="AA9" s="3">
        <f>26918/O4</f>
        <v>26.917999999999999</v>
      </c>
      <c r="AB9" s="3">
        <f>27885/O4</f>
        <v>27.885000000000002</v>
      </c>
      <c r="AC9" s="3">
        <f>30934/O4</f>
        <v>30.934000000000001</v>
      </c>
      <c r="AD9" s="3">
        <f>32533/O4</f>
        <v>32.533000000000001</v>
      </c>
      <c r="AE9" s="3">
        <f>31394/O4</f>
        <v>31.393999999999998</v>
      </c>
      <c r="AG9" s="10" t="s">
        <v>11</v>
      </c>
      <c r="AH9" s="11">
        <f>IF($R9=TRUE,VLOOKUP($R9,$R$9:$AE$9,S$1,),0)</f>
        <v>0</v>
      </c>
      <c r="AI9" s="11">
        <f t="shared" ref="AI9:AT9" si="12">IF($R9=TRUE,VLOOKUP($R9,$R$9:$AE$9,T$1,),0)</f>
        <v>0</v>
      </c>
      <c r="AJ9" s="11">
        <f t="shared" si="12"/>
        <v>0</v>
      </c>
      <c r="AK9" s="11">
        <f t="shared" si="12"/>
        <v>0</v>
      </c>
      <c r="AL9" s="11">
        <f t="shared" si="12"/>
        <v>0</v>
      </c>
      <c r="AM9" s="11">
        <f t="shared" si="12"/>
        <v>0</v>
      </c>
      <c r="AN9" s="11">
        <f t="shared" si="12"/>
        <v>0</v>
      </c>
      <c r="AO9" s="11">
        <f t="shared" si="12"/>
        <v>0</v>
      </c>
      <c r="AP9" s="11">
        <f t="shared" si="12"/>
        <v>0</v>
      </c>
      <c r="AQ9" s="11">
        <f t="shared" si="12"/>
        <v>0</v>
      </c>
      <c r="AR9" s="11">
        <f t="shared" si="12"/>
        <v>0</v>
      </c>
      <c r="AS9" s="11">
        <f t="shared" si="12"/>
        <v>0</v>
      </c>
      <c r="AT9" s="11">
        <f t="shared" si="12"/>
        <v>0</v>
      </c>
    </row>
    <row r="10" spans="1:46" x14ac:dyDescent="0.3">
      <c r="A10" t="s">
        <v>27</v>
      </c>
      <c r="B10" t="s">
        <v>6</v>
      </c>
      <c r="C10" s="3">
        <f>1512215/I16</f>
        <v>1512.2149999999999</v>
      </c>
      <c r="D10" s="3">
        <f>528842/F1</f>
        <v>528.84199999999998</v>
      </c>
      <c r="E10" s="3">
        <f>3558908/F1</f>
        <v>3558.9079999999999</v>
      </c>
      <c r="F10" s="3">
        <v>8</v>
      </c>
      <c r="G10" s="5">
        <f t="shared" si="1"/>
        <v>0.34971349973383414</v>
      </c>
      <c r="H10" s="5">
        <f t="shared" si="2"/>
        <v>0.14859670438235548</v>
      </c>
      <c r="I10" s="5" t="str">
        <f t="shared" si="4"/>
        <v>Gestão de pessoas</v>
      </c>
      <c r="J10" s="3">
        <f t="shared" si="5"/>
        <v>1425.9670000000001</v>
      </c>
      <c r="K10" s="3">
        <f t="shared" si="6"/>
        <v>521.80999999999995</v>
      </c>
      <c r="L10" s="3">
        <f t="shared" si="7"/>
        <v>4738.0200000000004</v>
      </c>
      <c r="Q10" s="10" t="s">
        <v>5</v>
      </c>
      <c r="R10" t="b">
        <v>0</v>
      </c>
      <c r="S10" s="3">
        <f>37081/1000</f>
        <v>37.081000000000003</v>
      </c>
      <c r="T10" s="3">
        <f>38385/1000</f>
        <v>38.384999999999998</v>
      </c>
      <c r="U10" s="3">
        <f>41708/1000</f>
        <v>41.707999999999998</v>
      </c>
      <c r="V10" s="3">
        <f>41937/1000</f>
        <v>41.936999999999998</v>
      </c>
      <c r="W10" s="3">
        <f>45485/1000</f>
        <v>45.484999999999999</v>
      </c>
      <c r="X10" s="3">
        <f>54763/O4</f>
        <v>54.762999999999998</v>
      </c>
      <c r="Y10" s="3">
        <f>55268/1000</f>
        <v>55.268000000000001</v>
      </c>
      <c r="Z10" s="3">
        <f>55296/O4</f>
        <v>55.295999999999999</v>
      </c>
      <c r="AA10" s="3">
        <f>53271/O4</f>
        <v>53.271000000000001</v>
      </c>
      <c r="AB10" s="3">
        <f>49947/O4</f>
        <v>49.947000000000003</v>
      </c>
      <c r="AC10" s="3">
        <f>52797/O4</f>
        <v>52.796999999999997</v>
      </c>
      <c r="AD10" s="3">
        <f>50372/O4</f>
        <v>50.372</v>
      </c>
      <c r="AE10" s="3">
        <f>45644/O4</f>
        <v>45.643999999999998</v>
      </c>
      <c r="AG10" s="10" t="s">
        <v>5</v>
      </c>
      <c r="AH10" s="11">
        <f>IF($R10=TRUE,VLOOKUP($R10,$R$10:$AE$10,S$1,),0)</f>
        <v>0</v>
      </c>
      <c r="AI10" s="11">
        <f t="shared" ref="AI10:AT10" si="13">IF($R10=TRUE,VLOOKUP($R10,$R$10:$AE$10,T$1,),0)</f>
        <v>0</v>
      </c>
      <c r="AJ10" s="11">
        <f t="shared" si="13"/>
        <v>0</v>
      </c>
      <c r="AK10" s="11">
        <f t="shared" si="13"/>
        <v>0</v>
      </c>
      <c r="AL10" s="11">
        <f t="shared" si="13"/>
        <v>0</v>
      </c>
      <c r="AM10" s="11">
        <f t="shared" si="13"/>
        <v>0</v>
      </c>
      <c r="AN10" s="11">
        <f t="shared" si="13"/>
        <v>0</v>
      </c>
      <c r="AO10" s="11">
        <f t="shared" si="13"/>
        <v>0</v>
      </c>
      <c r="AP10" s="11">
        <f t="shared" si="13"/>
        <v>0</v>
      </c>
      <c r="AQ10" s="11">
        <f t="shared" si="13"/>
        <v>0</v>
      </c>
      <c r="AR10" s="11">
        <f t="shared" si="13"/>
        <v>0</v>
      </c>
      <c r="AS10" s="11">
        <f t="shared" si="13"/>
        <v>0</v>
      </c>
      <c r="AT10" s="11">
        <f t="shared" si="13"/>
        <v>0</v>
      </c>
    </row>
    <row r="11" spans="1:46" x14ac:dyDescent="0.3">
      <c r="A11" t="s">
        <v>27</v>
      </c>
      <c r="B11" t="s">
        <v>13</v>
      </c>
      <c r="C11" s="3">
        <f>760794/I16</f>
        <v>760.79399999999998</v>
      </c>
      <c r="D11" s="3">
        <f>258928/F1</f>
        <v>258.928</v>
      </c>
      <c r="E11" s="3">
        <f>3209688/F1</f>
        <v>3209.6880000000001</v>
      </c>
      <c r="F11" s="3">
        <v>9</v>
      </c>
      <c r="G11" s="5">
        <f t="shared" si="1"/>
        <v>0.34033917197033625</v>
      </c>
      <c r="H11" s="5">
        <f t="shared" si="2"/>
        <v>8.0670769246107402E-2</v>
      </c>
      <c r="I11" s="5" t="str">
        <f t="shared" si="4"/>
        <v>Sistemas de informação</v>
      </c>
      <c r="J11" s="3">
        <f t="shared" si="5"/>
        <v>1261.6890000000001</v>
      </c>
      <c r="K11" s="3">
        <f t="shared" si="6"/>
        <v>322.81599999999997</v>
      </c>
      <c r="L11" s="3">
        <f t="shared" si="7"/>
        <v>4748.3509999999997</v>
      </c>
      <c r="Q11" s="10" t="s">
        <v>7</v>
      </c>
      <c r="R11" t="b">
        <v>0</v>
      </c>
      <c r="S11" s="3">
        <f>25339/1000</f>
        <v>25.338999999999999</v>
      </c>
      <c r="T11" s="3">
        <f>27463/1000</f>
        <v>27.463000000000001</v>
      </c>
      <c r="U11" s="3">
        <f>36381/1000</f>
        <v>36.381</v>
      </c>
      <c r="V11" s="3">
        <f>41651/1000</f>
        <v>41.651000000000003</v>
      </c>
      <c r="W11" s="3">
        <f>43134/1000</f>
        <v>43.134</v>
      </c>
      <c r="X11" s="3">
        <f>50932/O4</f>
        <v>50.932000000000002</v>
      </c>
      <c r="Y11" s="3">
        <f>45803/1000</f>
        <v>45.802999999999997</v>
      </c>
      <c r="Z11" s="3">
        <f>38942/O4</f>
        <v>38.942</v>
      </c>
      <c r="AA11" s="3">
        <f>39906/O4</f>
        <v>39.905999999999999</v>
      </c>
      <c r="AB11" s="3">
        <f>39234/O4</f>
        <v>39.234000000000002</v>
      </c>
      <c r="AC11" s="3">
        <f>47532/O4</f>
        <v>47.531999999999996</v>
      </c>
      <c r="AD11" s="3">
        <f>46810/O4</f>
        <v>46.81</v>
      </c>
      <c r="AE11" s="3">
        <f>38683/O4</f>
        <v>38.683</v>
      </c>
      <c r="AG11" s="10" t="s">
        <v>7</v>
      </c>
      <c r="AH11" s="11">
        <f>IF($R11=TRUE,VLOOKUP($R11,$R$11:$AE$11,S$1,),0)</f>
        <v>0</v>
      </c>
      <c r="AI11" s="11">
        <f t="shared" ref="AI11:AT11" si="14">IF($R11=TRUE,VLOOKUP($R11,$R$11:$AE$11,T$1,),0)</f>
        <v>0</v>
      </c>
      <c r="AJ11" s="11">
        <f t="shared" si="14"/>
        <v>0</v>
      </c>
      <c r="AK11" s="11">
        <f t="shared" si="14"/>
        <v>0</v>
      </c>
      <c r="AL11" s="11">
        <f t="shared" si="14"/>
        <v>0</v>
      </c>
      <c r="AM11" s="11">
        <f t="shared" si="14"/>
        <v>0</v>
      </c>
      <c r="AN11" s="11">
        <f t="shared" si="14"/>
        <v>0</v>
      </c>
      <c r="AO11" s="11">
        <f t="shared" si="14"/>
        <v>0</v>
      </c>
      <c r="AP11" s="11">
        <f t="shared" si="14"/>
        <v>0</v>
      </c>
      <c r="AQ11" s="11">
        <f t="shared" si="14"/>
        <v>0</v>
      </c>
      <c r="AR11" s="11">
        <f t="shared" si="14"/>
        <v>0</v>
      </c>
      <c r="AS11" s="11">
        <f t="shared" si="14"/>
        <v>0</v>
      </c>
      <c r="AT11" s="11">
        <f t="shared" si="14"/>
        <v>0</v>
      </c>
    </row>
    <row r="12" spans="1:46" x14ac:dyDescent="0.3">
      <c r="B12" t="s">
        <v>14</v>
      </c>
      <c r="C12" s="3">
        <f>536546/I16</f>
        <v>536.54600000000005</v>
      </c>
      <c r="D12" s="3">
        <f>151806/F1</f>
        <v>151.80600000000001</v>
      </c>
      <c r="E12" s="3">
        <f>3102152/F1</f>
        <v>3102.152</v>
      </c>
      <c r="F12" s="3">
        <v>10</v>
      </c>
      <c r="G12" s="5">
        <f t="shared" si="1"/>
        <v>0.28293193873405076</v>
      </c>
      <c r="H12" s="5">
        <f t="shared" si="2"/>
        <v>4.8935706567569869E-2</v>
      </c>
      <c r="I12" s="5" t="str">
        <f t="shared" si="4"/>
        <v>Engenharia civil</v>
      </c>
      <c r="J12" s="3">
        <f t="shared" si="5"/>
        <v>1126.5820000000001</v>
      </c>
      <c r="K12" s="3">
        <f t="shared" si="6"/>
        <v>375.96300000000002</v>
      </c>
      <c r="L12" s="3">
        <f t="shared" si="7"/>
        <v>3716.893</v>
      </c>
      <c r="Q12" s="10" t="s">
        <v>6</v>
      </c>
      <c r="R12" t="b">
        <v>0</v>
      </c>
      <c r="S12" s="3">
        <f>42408/1000</f>
        <v>42.408000000000001</v>
      </c>
      <c r="T12" s="3">
        <f>47052/1000</f>
        <v>47.052</v>
      </c>
      <c r="U12" s="3">
        <f>46589/1000</f>
        <v>46.588999999999999</v>
      </c>
      <c r="V12" s="3">
        <f>32166/1000</f>
        <v>32.165999999999997</v>
      </c>
      <c r="W12" s="3">
        <f>29750/1000</f>
        <v>29.75</v>
      </c>
      <c r="X12" s="3">
        <f>34715/O4</f>
        <v>34.715000000000003</v>
      </c>
      <c r="Y12" s="3">
        <f>35144/1000</f>
        <v>35.143999999999998</v>
      </c>
      <c r="Z12" s="3">
        <f>37336/O4</f>
        <v>37.335999999999999</v>
      </c>
      <c r="AA12" s="3">
        <f>42253/O4</f>
        <v>42.253</v>
      </c>
      <c r="AB12" s="3">
        <f>41264/O4</f>
        <v>41.264000000000003</v>
      </c>
      <c r="AC12" s="3">
        <f>40719/O4</f>
        <v>40.719000000000001</v>
      </c>
      <c r="AD12" s="3">
        <f>48098/O4</f>
        <v>48.097999999999999</v>
      </c>
      <c r="AE12" s="3">
        <f>51348/O4</f>
        <v>51.347999999999999</v>
      </c>
      <c r="AG12" s="10" t="s">
        <v>6</v>
      </c>
      <c r="AH12" s="11">
        <f>IF($R12=TRUE,VLOOKUP($R12,$R$12:$AE$12,S$1,),0)</f>
        <v>0</v>
      </c>
      <c r="AI12" s="11">
        <f t="shared" ref="AI12:AT12" si="15">IF($R12=TRUE,VLOOKUP($R12,$R$12:$AE$12,T$1,),0)</f>
        <v>0</v>
      </c>
      <c r="AJ12" s="11">
        <f t="shared" si="15"/>
        <v>0</v>
      </c>
      <c r="AK12" s="11">
        <f t="shared" si="15"/>
        <v>0</v>
      </c>
      <c r="AL12" s="11">
        <f t="shared" si="15"/>
        <v>0</v>
      </c>
      <c r="AM12" s="11">
        <f t="shared" si="15"/>
        <v>0</v>
      </c>
      <c r="AN12" s="11">
        <f t="shared" si="15"/>
        <v>0</v>
      </c>
      <c r="AO12" s="11">
        <f t="shared" si="15"/>
        <v>0</v>
      </c>
      <c r="AP12" s="11">
        <f t="shared" si="15"/>
        <v>0</v>
      </c>
      <c r="AQ12" s="11">
        <f t="shared" si="15"/>
        <v>0</v>
      </c>
      <c r="AR12" s="11">
        <f t="shared" si="15"/>
        <v>0</v>
      </c>
      <c r="AS12" s="11">
        <f t="shared" si="15"/>
        <v>0</v>
      </c>
      <c r="AT12" s="11">
        <f t="shared" si="15"/>
        <v>0</v>
      </c>
    </row>
    <row r="13" spans="1:46" x14ac:dyDescent="0.3">
      <c r="I13" s="5" t="str">
        <f t="shared" si="4"/>
        <v>Psicologia</v>
      </c>
      <c r="J13" s="3">
        <f t="shared" si="5"/>
        <v>1045.3330000000001</v>
      </c>
      <c r="K13" s="3">
        <f t="shared" si="6"/>
        <v>359.56099999999998</v>
      </c>
      <c r="L13" s="3">
        <f t="shared" si="7"/>
        <v>2068.1889999999999</v>
      </c>
      <c r="Q13" s="10" t="s">
        <v>8</v>
      </c>
      <c r="R13" t="b">
        <v>0</v>
      </c>
      <c r="S13" s="3">
        <f>22615/1000</f>
        <v>22.614999999999998</v>
      </c>
      <c r="T13" s="3">
        <f>21804/1000</f>
        <v>21.803999999999998</v>
      </c>
      <c r="U13" s="3">
        <f>21401/1000</f>
        <v>21.401</v>
      </c>
      <c r="V13" s="3">
        <f>21014/1000</f>
        <v>21.013999999999999</v>
      </c>
      <c r="W13" s="3">
        <f>21588/1000</f>
        <v>21.588000000000001</v>
      </c>
      <c r="X13" s="3">
        <f>23695/O4</f>
        <v>23.695</v>
      </c>
      <c r="Y13" s="3">
        <f>23723/1000</f>
        <v>23.722999999999999</v>
      </c>
      <c r="Z13" s="3">
        <f>22578/O4</f>
        <v>22.577999999999999</v>
      </c>
      <c r="AA13" s="3">
        <f>23458/O4</f>
        <v>23.457999999999998</v>
      </c>
      <c r="AB13" s="3">
        <f>24206/O4</f>
        <v>24.206</v>
      </c>
      <c r="AC13" s="3">
        <f>28618/O4</f>
        <v>28.617999999999999</v>
      </c>
      <c r="AD13" s="3">
        <f>31781/O4</f>
        <v>31.780999999999999</v>
      </c>
      <c r="AE13" s="3">
        <f>36335/O4</f>
        <v>36.335000000000001</v>
      </c>
      <c r="AG13" s="10" t="s">
        <v>8</v>
      </c>
      <c r="AH13" s="11">
        <f>IF($R13=TRUE,VLOOKUP($R13,$R$13:$AE$13,S$1,),0)</f>
        <v>0</v>
      </c>
      <c r="AI13" s="11">
        <f t="shared" ref="AI13:AT13" si="16">IF($R13=TRUE,VLOOKUP($R13,$R$13:$AE$13,T$1,),0)</f>
        <v>0</v>
      </c>
      <c r="AJ13" s="11">
        <f t="shared" si="16"/>
        <v>0</v>
      </c>
      <c r="AK13" s="11">
        <f t="shared" si="16"/>
        <v>0</v>
      </c>
      <c r="AL13" s="11">
        <f t="shared" si="16"/>
        <v>0</v>
      </c>
      <c r="AM13" s="11">
        <f t="shared" si="16"/>
        <v>0</v>
      </c>
      <c r="AN13" s="11">
        <f t="shared" si="16"/>
        <v>0</v>
      </c>
      <c r="AO13" s="11">
        <f t="shared" si="16"/>
        <v>0</v>
      </c>
      <c r="AP13" s="11">
        <f t="shared" si="16"/>
        <v>0</v>
      </c>
      <c r="AQ13" s="11">
        <f t="shared" si="16"/>
        <v>0</v>
      </c>
      <c r="AR13" s="11">
        <f t="shared" si="16"/>
        <v>0</v>
      </c>
      <c r="AS13" s="11">
        <f t="shared" si="16"/>
        <v>0</v>
      </c>
      <c r="AT13" s="11">
        <f t="shared" si="16"/>
        <v>0</v>
      </c>
    </row>
    <row r="14" spans="1:46" x14ac:dyDescent="0.3">
      <c r="B14" s="15" t="s">
        <v>21</v>
      </c>
      <c r="C14" s="15"/>
      <c r="D14" s="15"/>
      <c r="E14" s="15"/>
      <c r="F14" s="3"/>
      <c r="G14" s="3"/>
      <c r="I14" s="5" t="str">
        <f>IF($I$3=$B$1,HLOOKUP($I$3,$B$1:$F$12,12,FALSE),IF($I$3=$B$14,HLOOKUP($I$3,$B$14:$F$25,12,FALSE),HLOOKUP($I$3,$B$27:$F$38,12,FALSE)))</f>
        <v>Educação física</v>
      </c>
      <c r="J14" s="4">
        <f t="shared" si="5"/>
        <v>960.05399999999997</v>
      </c>
      <c r="K14" s="4">
        <f t="shared" si="6"/>
        <v>258.46100000000001</v>
      </c>
      <c r="L14" s="4">
        <f t="shared" si="7"/>
        <v>2931.623</v>
      </c>
      <c r="Q14" s="10" t="s">
        <v>9</v>
      </c>
      <c r="R14" t="b">
        <v>0</v>
      </c>
      <c r="S14" s="3">
        <f>6625/1000</f>
        <v>6.625</v>
      </c>
      <c r="T14" s="3">
        <f>7816/1000</f>
        <v>7.8159999999999998</v>
      </c>
      <c r="U14" s="3">
        <f>9807/1000</f>
        <v>9.8070000000000004</v>
      </c>
      <c r="V14" s="3">
        <f>14017/1000</f>
        <v>14.016999999999999</v>
      </c>
      <c r="W14" s="3">
        <f>18406/1000</f>
        <v>18.405999999999999</v>
      </c>
      <c r="X14" s="3">
        <f>25606/O4</f>
        <v>25.606000000000002</v>
      </c>
      <c r="Y14" s="3">
        <f>35556/1000</f>
        <v>35.555999999999997</v>
      </c>
      <c r="Z14" s="3">
        <f>43731/O4</f>
        <v>43.731000000000002</v>
      </c>
      <c r="AA14" s="3">
        <f>49945/O4</f>
        <v>49.945</v>
      </c>
      <c r="AB14" s="3">
        <f>48779/O4</f>
        <v>48.779000000000003</v>
      </c>
      <c r="AC14" s="3">
        <f>45332/O4</f>
        <v>45.332000000000001</v>
      </c>
      <c r="AD14" s="3">
        <f>38460/O4</f>
        <v>38.46</v>
      </c>
      <c r="AE14" s="3">
        <f>31883/O4</f>
        <v>31.882999999999999</v>
      </c>
      <c r="AG14" s="10" t="s">
        <v>9</v>
      </c>
      <c r="AH14" s="11">
        <f>IF($R14=TRUE,VLOOKUP($R14,$R$14:$AE$14,S$1,),0)</f>
        <v>0</v>
      </c>
      <c r="AI14" s="11">
        <f t="shared" ref="AI14:AT14" si="17">IF($R14=TRUE,VLOOKUP($R14,$R$14:$AE$14,T$1,),0)</f>
        <v>0</v>
      </c>
      <c r="AJ14" s="11">
        <f t="shared" si="17"/>
        <v>0</v>
      </c>
      <c r="AK14" s="11">
        <f t="shared" si="17"/>
        <v>0</v>
      </c>
      <c r="AL14" s="11">
        <f t="shared" si="17"/>
        <v>0</v>
      </c>
      <c r="AM14" s="11">
        <f t="shared" si="17"/>
        <v>0</v>
      </c>
      <c r="AN14" s="11">
        <f t="shared" si="17"/>
        <v>0</v>
      </c>
      <c r="AO14" s="11">
        <f t="shared" si="17"/>
        <v>0</v>
      </c>
      <c r="AP14" s="11">
        <f t="shared" si="17"/>
        <v>0</v>
      </c>
      <c r="AQ14" s="11">
        <f t="shared" si="17"/>
        <v>0</v>
      </c>
      <c r="AR14" s="11">
        <f t="shared" si="17"/>
        <v>0</v>
      </c>
      <c r="AS14" s="11">
        <f t="shared" si="17"/>
        <v>0</v>
      </c>
      <c r="AT14" s="11">
        <f t="shared" si="17"/>
        <v>0</v>
      </c>
    </row>
    <row r="15" spans="1:46" x14ac:dyDescent="0.3">
      <c r="B15" t="s">
        <v>30</v>
      </c>
      <c r="C15" t="s">
        <v>18</v>
      </c>
      <c r="D15" t="s">
        <v>15</v>
      </c>
      <c r="E15" t="s">
        <v>16</v>
      </c>
      <c r="F15" t="s">
        <v>19</v>
      </c>
      <c r="G15" s="3"/>
    </row>
    <row r="16" spans="1:46" x14ac:dyDescent="0.3">
      <c r="A16" t="s">
        <v>27</v>
      </c>
      <c r="B16" t="s">
        <v>3</v>
      </c>
      <c r="C16" s="3">
        <f>3622360/I16</f>
        <v>3622.36</v>
      </c>
      <c r="D16" s="3">
        <f>1604606/I16</f>
        <v>1604.606</v>
      </c>
      <c r="E16" s="3">
        <f>8813832/I16</f>
        <v>8813.8320000000003</v>
      </c>
      <c r="F16" s="3">
        <v>1</v>
      </c>
      <c r="G16" s="5">
        <f t="shared" ref="G16:G25" si="18">D16/C16</f>
        <v>0.44297253724091473</v>
      </c>
      <c r="H16" s="5">
        <f>D16/E16</f>
        <v>0.18205543286960768</v>
      </c>
      <c r="I16" s="3">
        <v>1000</v>
      </c>
      <c r="Q16" t="s">
        <v>16</v>
      </c>
      <c r="R16" t="s">
        <v>33</v>
      </c>
      <c r="S16">
        <v>2010</v>
      </c>
      <c r="T16">
        <v>2011</v>
      </c>
      <c r="U16">
        <v>2012</v>
      </c>
      <c r="V16">
        <v>2013</v>
      </c>
      <c r="W16">
        <v>2014</v>
      </c>
      <c r="X16">
        <v>2015</v>
      </c>
      <c r="Y16">
        <v>2016</v>
      </c>
      <c r="Z16">
        <v>2017</v>
      </c>
      <c r="AA16">
        <v>2018</v>
      </c>
      <c r="AB16">
        <v>2019</v>
      </c>
      <c r="AC16">
        <v>2020</v>
      </c>
      <c r="AD16">
        <v>2021</v>
      </c>
      <c r="AE16">
        <v>2022</v>
      </c>
      <c r="AG16" s="10" t="s">
        <v>16</v>
      </c>
      <c r="AH16">
        <v>2010</v>
      </c>
      <c r="AI16">
        <v>2011</v>
      </c>
      <c r="AJ16">
        <v>2012</v>
      </c>
      <c r="AK16">
        <v>2013</v>
      </c>
      <c r="AL16">
        <v>2014</v>
      </c>
      <c r="AM16">
        <v>2015</v>
      </c>
      <c r="AN16">
        <v>2016</v>
      </c>
      <c r="AO16">
        <v>2017</v>
      </c>
      <c r="AP16">
        <v>2018</v>
      </c>
      <c r="AQ16">
        <v>2019</v>
      </c>
      <c r="AR16">
        <v>2020</v>
      </c>
      <c r="AS16">
        <v>2021</v>
      </c>
      <c r="AT16">
        <v>2022</v>
      </c>
    </row>
    <row r="17" spans="1:46" x14ac:dyDescent="0.3">
      <c r="A17" t="s">
        <v>27</v>
      </c>
      <c r="B17" t="s">
        <v>2</v>
      </c>
      <c r="C17" s="3">
        <f>3727490/I16</f>
        <v>3727.49</v>
      </c>
      <c r="D17" s="3">
        <f>1415841/I16</f>
        <v>1415.8409999999999</v>
      </c>
      <c r="E17" s="3">
        <f>11017879/I16</f>
        <v>11017.879000000001</v>
      </c>
      <c r="F17" s="3">
        <v>2</v>
      </c>
      <c r="G17" s="5">
        <f t="shared" si="18"/>
        <v>0.37983763873276655</v>
      </c>
      <c r="H17" s="5">
        <f t="shared" ref="H17:H25" si="19">D17/E17</f>
        <v>0.12850395253024649</v>
      </c>
      <c r="Q17" s="10" t="s">
        <v>2</v>
      </c>
      <c r="R17" t="b">
        <v>1</v>
      </c>
      <c r="S17" s="3">
        <f>543366/O4</f>
        <v>543.36599999999999</v>
      </c>
      <c r="T17" s="3">
        <f>494706/O4</f>
        <v>494.70600000000002</v>
      </c>
      <c r="U17" s="3">
        <f>493349/O4</f>
        <v>493.34899999999999</v>
      </c>
      <c r="V17" s="3">
        <f>672744/O4</f>
        <v>672.74400000000003</v>
      </c>
      <c r="W17" s="3">
        <f>761012/O4</f>
        <v>761.01199999999994</v>
      </c>
      <c r="X17" s="3">
        <f>837457/O4</f>
        <v>837.45699999999999</v>
      </c>
      <c r="Y17" s="3">
        <f>944993/O4</f>
        <v>944.99300000000005</v>
      </c>
      <c r="Z17" s="3">
        <f>949533/O4</f>
        <v>949.53300000000002</v>
      </c>
      <c r="AA17" s="3">
        <f>1045311/O4</f>
        <v>1045.3109999999999</v>
      </c>
      <c r="AB17" s="3">
        <f>1032393/O4</f>
        <v>1032.393</v>
      </c>
      <c r="AC17" s="3">
        <f>1094932/O4</f>
        <v>1094.932</v>
      </c>
      <c r="AD17" s="3">
        <f>1079007/O4</f>
        <v>1079.0070000000001</v>
      </c>
      <c r="AE17" s="3">
        <f>1069076/O4</f>
        <v>1069.076</v>
      </c>
      <c r="AG17" s="10" t="s">
        <v>2</v>
      </c>
      <c r="AH17" s="11">
        <f>IF($R17=TRUE,VLOOKUP($R17,$R$17:$AE$17,S$1,),0)</f>
        <v>543.36599999999999</v>
      </c>
      <c r="AI17" s="11">
        <f t="shared" ref="AI17:AT17" si="20">IF($R17=TRUE,VLOOKUP($R17,$R$17:$AE$17,T$1,),0)</f>
        <v>494.70600000000002</v>
      </c>
      <c r="AJ17" s="11">
        <f t="shared" si="20"/>
        <v>493.34899999999999</v>
      </c>
      <c r="AK17" s="11">
        <f t="shared" si="20"/>
        <v>672.74400000000003</v>
      </c>
      <c r="AL17" s="11">
        <f t="shared" si="20"/>
        <v>761.01199999999994</v>
      </c>
      <c r="AM17" s="11">
        <f t="shared" si="20"/>
        <v>837.45699999999999</v>
      </c>
      <c r="AN17" s="11">
        <f t="shared" si="20"/>
        <v>944.99300000000005</v>
      </c>
      <c r="AO17" s="11">
        <f t="shared" si="20"/>
        <v>949.53300000000002</v>
      </c>
      <c r="AP17" s="11">
        <f t="shared" si="20"/>
        <v>1045.3109999999999</v>
      </c>
      <c r="AQ17" s="11">
        <f t="shared" si="20"/>
        <v>1032.393</v>
      </c>
      <c r="AR17" s="11">
        <f t="shared" si="20"/>
        <v>1094.932</v>
      </c>
      <c r="AS17" s="11">
        <f t="shared" si="20"/>
        <v>1079.0070000000001</v>
      </c>
      <c r="AT17" s="11">
        <f t="shared" si="20"/>
        <v>1069.076</v>
      </c>
    </row>
    <row r="18" spans="1:46" x14ac:dyDescent="0.3">
      <c r="A18" t="s">
        <v>27</v>
      </c>
      <c r="B18" t="s">
        <v>4</v>
      </c>
      <c r="C18" s="3">
        <f>3046924/I16</f>
        <v>3046.924</v>
      </c>
      <c r="D18" s="3">
        <f>1401208/I16</f>
        <v>1401.2080000000001</v>
      </c>
      <c r="E18" s="3">
        <f>4982271/I16</f>
        <v>4982.2709999999997</v>
      </c>
      <c r="F18" s="3">
        <v>3</v>
      </c>
      <c r="G18" s="5">
        <f t="shared" si="18"/>
        <v>0.45987625552852651</v>
      </c>
      <c r="H18" s="5">
        <f t="shared" si="19"/>
        <v>0.28123881659588573</v>
      </c>
      <c r="Q18" s="10" t="s">
        <v>3</v>
      </c>
      <c r="R18" t="b">
        <v>0</v>
      </c>
      <c r="S18" s="3">
        <f>462341/O4</f>
        <v>462.34100000000001</v>
      </c>
      <c r="T18" s="3">
        <f>350032/O4</f>
        <v>350.03199999999998</v>
      </c>
      <c r="U18" s="3">
        <f>340534/O4</f>
        <v>340.53399999999999</v>
      </c>
      <c r="V18" s="3">
        <f>408178/O4</f>
        <v>408.178</v>
      </c>
      <c r="W18" s="3">
        <f>518229/O4</f>
        <v>518.22900000000004</v>
      </c>
      <c r="X18" s="3">
        <f>587861/O4</f>
        <v>587.86099999999999</v>
      </c>
      <c r="Y18" s="3">
        <f>652192/O4</f>
        <v>652.19200000000001</v>
      </c>
      <c r="Z18" s="3">
        <f>702060/O4</f>
        <v>702.06</v>
      </c>
      <c r="AA18" s="3">
        <f>863196/O4</f>
        <v>863.19600000000003</v>
      </c>
      <c r="AB18" s="3">
        <f>910462/O4</f>
        <v>910.46199999999999</v>
      </c>
      <c r="AC18" s="3">
        <f>999847/O4</f>
        <v>999.84699999999998</v>
      </c>
      <c r="AD18" s="3">
        <f>983125/O4</f>
        <v>983.125</v>
      </c>
      <c r="AE18" s="3">
        <f>1035775/O4</f>
        <v>1035.7750000000001</v>
      </c>
      <c r="AG18" s="10" t="s">
        <v>3</v>
      </c>
      <c r="AH18" s="11">
        <f>IF($R18=TRUE,VLOOKUP($R18,$R$18:$AE$18,S$1,),0)</f>
        <v>0</v>
      </c>
      <c r="AI18" s="11">
        <f t="shared" ref="AI18:AT18" si="21">IF($R18=TRUE,VLOOKUP($R18,$R$18:$AE$18,T$1,),0)</f>
        <v>0</v>
      </c>
      <c r="AJ18" s="11">
        <f t="shared" si="21"/>
        <v>0</v>
      </c>
      <c r="AK18" s="11">
        <f t="shared" si="21"/>
        <v>0</v>
      </c>
      <c r="AL18" s="11">
        <f t="shared" si="21"/>
        <v>0</v>
      </c>
      <c r="AM18" s="11">
        <f t="shared" si="21"/>
        <v>0</v>
      </c>
      <c r="AN18" s="11">
        <f t="shared" si="21"/>
        <v>0</v>
      </c>
      <c r="AO18" s="11">
        <f t="shared" si="21"/>
        <v>0</v>
      </c>
      <c r="AP18" s="11">
        <f t="shared" si="21"/>
        <v>0</v>
      </c>
      <c r="AQ18" s="11">
        <f t="shared" si="21"/>
        <v>0</v>
      </c>
      <c r="AR18" s="11">
        <f t="shared" si="21"/>
        <v>0</v>
      </c>
      <c r="AS18" s="11">
        <f t="shared" si="21"/>
        <v>0</v>
      </c>
      <c r="AT18" s="11">
        <f t="shared" si="21"/>
        <v>0</v>
      </c>
    </row>
    <row r="19" spans="1:46" x14ac:dyDescent="0.3">
      <c r="A19" t="s">
        <v>27</v>
      </c>
      <c r="B19" t="s">
        <v>5</v>
      </c>
      <c r="C19" s="3">
        <f>1758292/I16</f>
        <v>1758.2919999999999</v>
      </c>
      <c r="D19" s="3">
        <f>621954/I16</f>
        <v>621.95399999999995</v>
      </c>
      <c r="E19" s="3">
        <f>6034284/I16</f>
        <v>6034.2839999999997</v>
      </c>
      <c r="F19" s="3">
        <v>4</v>
      </c>
      <c r="G19" s="5">
        <f t="shared" si="18"/>
        <v>0.35372622977298424</v>
      </c>
      <c r="H19" s="5">
        <f t="shared" si="19"/>
        <v>0.10307005769035729</v>
      </c>
      <c r="Q19" s="10" t="s">
        <v>13</v>
      </c>
      <c r="R19" t="b">
        <v>0</v>
      </c>
      <c r="S19" s="3">
        <f>115389/O4</f>
        <v>115.389</v>
      </c>
      <c r="T19" s="3">
        <f>102932/O4</f>
        <v>102.932</v>
      </c>
      <c r="U19" s="3">
        <f>112446/O4</f>
        <v>112.446</v>
      </c>
      <c r="V19" s="3">
        <f>149960/O4</f>
        <v>149.96</v>
      </c>
      <c r="W19" s="3">
        <f>197453/O4</f>
        <v>197.453</v>
      </c>
      <c r="X19" s="3">
        <f>194182/O4</f>
        <v>194.18199999999999</v>
      </c>
      <c r="Y19" s="3">
        <f>227303/O4</f>
        <v>227.303</v>
      </c>
      <c r="Z19" s="3">
        <f>229710/O4</f>
        <v>229.71</v>
      </c>
      <c r="AA19" s="3">
        <f>304597/O4</f>
        <v>304.59699999999998</v>
      </c>
      <c r="AB19" s="3">
        <f>337104/O4</f>
        <v>337.10399999999998</v>
      </c>
      <c r="AC19" s="3">
        <f>387575/O4</f>
        <v>387.57499999999999</v>
      </c>
      <c r="AD19" s="3">
        <f>430536/O4</f>
        <v>430.536</v>
      </c>
      <c r="AE19" s="3">
        <f>420501/O4</f>
        <v>420.50099999999998</v>
      </c>
      <c r="AG19" s="10" t="s">
        <v>13</v>
      </c>
      <c r="AH19" s="11">
        <f>IF($R19=TRUE,VLOOKUP($R19,$R$19:$AE$19,S$1,),0)</f>
        <v>0</v>
      </c>
      <c r="AI19" s="11">
        <f t="shared" ref="AI19:AT19" si="22">IF($R19=TRUE,VLOOKUP($R19,$R$19:$AE$19,T$1,),0)</f>
        <v>0</v>
      </c>
      <c r="AJ19" s="11">
        <f t="shared" si="22"/>
        <v>0</v>
      </c>
      <c r="AK19" s="11">
        <f t="shared" si="22"/>
        <v>0</v>
      </c>
      <c r="AL19" s="11">
        <f t="shared" si="22"/>
        <v>0</v>
      </c>
      <c r="AM19" s="11">
        <f t="shared" si="22"/>
        <v>0</v>
      </c>
      <c r="AN19" s="11">
        <f t="shared" si="22"/>
        <v>0</v>
      </c>
      <c r="AO19" s="11">
        <f t="shared" si="22"/>
        <v>0</v>
      </c>
      <c r="AP19" s="11">
        <f t="shared" si="22"/>
        <v>0</v>
      </c>
      <c r="AQ19" s="11">
        <f t="shared" si="22"/>
        <v>0</v>
      </c>
      <c r="AR19" s="11">
        <f t="shared" si="22"/>
        <v>0</v>
      </c>
      <c r="AS19" s="11">
        <f t="shared" si="22"/>
        <v>0</v>
      </c>
      <c r="AT19" s="11">
        <f t="shared" si="22"/>
        <v>0</v>
      </c>
    </row>
    <row r="20" spans="1:46" x14ac:dyDescent="0.3">
      <c r="A20" t="s">
        <v>27</v>
      </c>
      <c r="B20" t="s">
        <v>6</v>
      </c>
      <c r="C20" s="3">
        <f>1512215/I16</f>
        <v>1512.2149999999999</v>
      </c>
      <c r="D20" s="3">
        <f>528842/I16</f>
        <v>528.84199999999998</v>
      </c>
      <c r="E20" s="3">
        <f>3558908/I16</f>
        <v>3558.9079999999999</v>
      </c>
      <c r="F20" s="3">
        <v>5</v>
      </c>
      <c r="G20" s="5">
        <f t="shared" si="18"/>
        <v>0.34971349973383414</v>
      </c>
      <c r="H20" s="5">
        <f t="shared" si="19"/>
        <v>0.14859670438235548</v>
      </c>
      <c r="Q20" s="10" t="s">
        <v>4</v>
      </c>
      <c r="R20" t="b">
        <v>0</v>
      </c>
      <c r="S20" s="3">
        <f>218752/O4</f>
        <v>218.75200000000001</v>
      </c>
      <c r="T20" s="3">
        <f>214821/O4</f>
        <v>214.821</v>
      </c>
      <c r="U20" s="3">
        <f>217540/O4</f>
        <v>217.54</v>
      </c>
      <c r="V20" s="3">
        <f>270783/O4</f>
        <v>270.78300000000002</v>
      </c>
      <c r="W20" s="3">
        <f>359875/O4</f>
        <v>359.875</v>
      </c>
      <c r="X20" s="3">
        <f>396310/O4</f>
        <v>396.31</v>
      </c>
      <c r="Y20" s="3">
        <f>413835/O4</f>
        <v>413.83499999999998</v>
      </c>
      <c r="Z20" s="3">
        <f>409750/O4</f>
        <v>409.75</v>
      </c>
      <c r="AA20" s="3">
        <f>471643/O4</f>
        <v>471.64299999999997</v>
      </c>
      <c r="AB20" s="3">
        <f>492372/O4</f>
        <v>492.37200000000001</v>
      </c>
      <c r="AC20" s="3">
        <f>507146/O4</f>
        <v>507.14600000000002</v>
      </c>
      <c r="AD20" s="3">
        <f>503352/O4</f>
        <v>503.35199999999998</v>
      </c>
      <c r="AE20" s="3">
        <f>506092/O4</f>
        <v>506.09199999999998</v>
      </c>
      <c r="AG20" s="10" t="s">
        <v>4</v>
      </c>
      <c r="AH20" s="11">
        <f>IF($R20=TRUE,VLOOKUP($R20,$R$20:$AE$20,S$1,),0)</f>
        <v>0</v>
      </c>
      <c r="AI20" s="11">
        <f t="shared" ref="AI20:AT20" si="23">IF($R20=TRUE,VLOOKUP($R20,$R$20:$AE$20,T$1,),0)</f>
        <v>0</v>
      </c>
      <c r="AJ20" s="11">
        <f t="shared" si="23"/>
        <v>0</v>
      </c>
      <c r="AK20" s="11">
        <f t="shared" si="23"/>
        <v>0</v>
      </c>
      <c r="AL20" s="11">
        <f t="shared" si="23"/>
        <v>0</v>
      </c>
      <c r="AM20" s="11">
        <f t="shared" si="23"/>
        <v>0</v>
      </c>
      <c r="AN20" s="11">
        <f t="shared" si="23"/>
        <v>0</v>
      </c>
      <c r="AO20" s="11">
        <f t="shared" si="23"/>
        <v>0</v>
      </c>
      <c r="AP20" s="11">
        <f t="shared" si="23"/>
        <v>0</v>
      </c>
      <c r="AQ20" s="11">
        <f t="shared" si="23"/>
        <v>0</v>
      </c>
      <c r="AR20" s="11">
        <f t="shared" si="23"/>
        <v>0</v>
      </c>
      <c r="AS20" s="11">
        <f t="shared" si="23"/>
        <v>0</v>
      </c>
      <c r="AT20" s="11">
        <f t="shared" si="23"/>
        <v>0</v>
      </c>
    </row>
    <row r="21" spans="1:46" x14ac:dyDescent="0.3">
      <c r="A21" t="s">
        <v>27</v>
      </c>
      <c r="B21" t="s">
        <v>7</v>
      </c>
      <c r="C21" s="3">
        <f>1425967/I16</f>
        <v>1425.9670000000001</v>
      </c>
      <c r="D21" s="3">
        <f>521810/I16</f>
        <v>521.80999999999995</v>
      </c>
      <c r="E21" s="3">
        <f>4738020/I16</f>
        <v>4738.0200000000004</v>
      </c>
      <c r="F21" s="3">
        <v>6</v>
      </c>
      <c r="G21" s="5">
        <f t="shared" si="18"/>
        <v>0.36593413452064455</v>
      </c>
      <c r="H21" s="5">
        <f t="shared" si="19"/>
        <v>0.11013250260657403</v>
      </c>
      <c r="Q21" s="10" t="s">
        <v>14</v>
      </c>
      <c r="R21" t="b">
        <v>0</v>
      </c>
      <c r="S21" s="3">
        <f>133969/O4</f>
        <v>133.96899999999999</v>
      </c>
      <c r="T21" s="3">
        <f>100409/O4</f>
        <v>100.40900000000001</v>
      </c>
      <c r="U21" s="3">
        <f>114581/O4</f>
        <v>114.581</v>
      </c>
      <c r="V21" s="3">
        <f>149716/O4</f>
        <v>149.71600000000001</v>
      </c>
      <c r="W21" s="3">
        <f>192409/O4</f>
        <v>192.40899999999999</v>
      </c>
      <c r="X21" s="3">
        <f>163604/O4</f>
        <v>163.60400000000001</v>
      </c>
      <c r="Y21" s="3">
        <f>240821/O4</f>
        <v>240.821</v>
      </c>
      <c r="Z21" s="3">
        <f>212091/O4</f>
        <v>212.09100000000001</v>
      </c>
      <c r="AA21" s="3">
        <f>242883/O4</f>
        <v>242.88300000000001</v>
      </c>
      <c r="AB21" s="3">
        <f>300478/O4</f>
        <v>300.47800000000001</v>
      </c>
      <c r="AC21" s="3">
        <f>345664/O4</f>
        <v>345.66399999999999</v>
      </c>
      <c r="AD21" s="3">
        <f>439476/O4</f>
        <v>439.476</v>
      </c>
      <c r="AE21" s="3">
        <f>466051/O4</f>
        <v>466.05099999999999</v>
      </c>
      <c r="AG21" s="10" t="s">
        <v>14</v>
      </c>
      <c r="AH21" s="11">
        <f>IF($R21=TRUE,VLOOKUP($R21,$R$21:$AE$21,S$1,),0)</f>
        <v>0</v>
      </c>
      <c r="AI21" s="11">
        <f t="shared" ref="AI21:AT21" si="24">IF($R21=TRUE,VLOOKUP($R21,$R$21:$AE$21,T$1,),0)</f>
        <v>0</v>
      </c>
      <c r="AJ21" s="11">
        <f t="shared" si="24"/>
        <v>0</v>
      </c>
      <c r="AK21" s="11">
        <f t="shared" si="24"/>
        <v>0</v>
      </c>
      <c r="AL21" s="11">
        <f t="shared" si="24"/>
        <v>0</v>
      </c>
      <c r="AM21" s="11">
        <f t="shared" si="24"/>
        <v>0</v>
      </c>
      <c r="AN21" s="11">
        <f t="shared" si="24"/>
        <v>0</v>
      </c>
      <c r="AO21" s="11">
        <f t="shared" si="24"/>
        <v>0</v>
      </c>
      <c r="AP21" s="11">
        <f t="shared" si="24"/>
        <v>0</v>
      </c>
      <c r="AQ21" s="11">
        <f t="shared" si="24"/>
        <v>0</v>
      </c>
      <c r="AR21" s="11">
        <f t="shared" si="24"/>
        <v>0</v>
      </c>
      <c r="AS21" s="11">
        <f t="shared" si="24"/>
        <v>0</v>
      </c>
      <c r="AT21" s="11">
        <f t="shared" si="24"/>
        <v>0</v>
      </c>
    </row>
    <row r="22" spans="1:46" x14ac:dyDescent="0.3">
      <c r="A22" t="s">
        <v>27</v>
      </c>
      <c r="B22" t="s">
        <v>9</v>
      </c>
      <c r="C22" s="3">
        <f>1126582/I16</f>
        <v>1126.5820000000001</v>
      </c>
      <c r="D22" s="3">
        <f>375963/I16</f>
        <v>375.96300000000002</v>
      </c>
      <c r="E22" s="3">
        <f>3716893/I16</f>
        <v>3716.893</v>
      </c>
      <c r="F22" s="3">
        <v>7</v>
      </c>
      <c r="G22" s="5">
        <f t="shared" si="18"/>
        <v>0.33372004878473116</v>
      </c>
      <c r="H22" s="5">
        <f t="shared" si="19"/>
        <v>0.10114980441998196</v>
      </c>
      <c r="Q22" s="10" t="s">
        <v>12</v>
      </c>
      <c r="R22" t="b">
        <v>0</v>
      </c>
      <c r="S22" s="3">
        <f>77376/O4</f>
        <v>77.376000000000005</v>
      </c>
      <c r="T22" s="3">
        <f>74746/O4</f>
        <v>74.745999999999995</v>
      </c>
      <c r="U22" s="3">
        <f>75404/O4</f>
        <v>75.403999999999996</v>
      </c>
      <c r="V22" s="3">
        <f>86911/O4</f>
        <v>86.911000000000001</v>
      </c>
      <c r="W22" s="3">
        <f>154561/O4</f>
        <v>154.56100000000001</v>
      </c>
      <c r="X22" s="3">
        <f>155518/O4</f>
        <v>155.518</v>
      </c>
      <c r="Y22" s="3">
        <f>196473/O4</f>
        <v>196.47300000000001</v>
      </c>
      <c r="Z22" s="3">
        <f>184931/O4</f>
        <v>184.93100000000001</v>
      </c>
      <c r="AA22" s="3">
        <f>243628/O4</f>
        <v>243.62799999999999</v>
      </c>
      <c r="AB22" s="3">
        <f>292127/O4</f>
        <v>292.12700000000001</v>
      </c>
      <c r="AC22" s="3">
        <f>317969/O4</f>
        <v>317.96899999999999</v>
      </c>
      <c r="AD22" s="3">
        <f>316133/O4</f>
        <v>316.13299999999998</v>
      </c>
      <c r="AE22" s="3">
        <f>331541/O4</f>
        <v>331.541</v>
      </c>
      <c r="AG22" s="10" t="s">
        <v>12</v>
      </c>
      <c r="AH22" s="11">
        <f>IF($R22=TRUE,VLOOKUP($R22,$R$22:$AE$22,S$1,),0)</f>
        <v>0</v>
      </c>
      <c r="AI22" s="11">
        <f t="shared" ref="AI22:AT22" si="25">IF($R22=TRUE,VLOOKUP($R22,$R$22:$AE$22,T$1,),0)</f>
        <v>0</v>
      </c>
      <c r="AJ22" s="11">
        <f t="shared" si="25"/>
        <v>0</v>
      </c>
      <c r="AK22" s="11">
        <f t="shared" si="25"/>
        <v>0</v>
      </c>
      <c r="AL22" s="11">
        <f t="shared" si="25"/>
        <v>0</v>
      </c>
      <c r="AM22" s="11">
        <f t="shared" si="25"/>
        <v>0</v>
      </c>
      <c r="AN22" s="11">
        <f t="shared" si="25"/>
        <v>0</v>
      </c>
      <c r="AO22" s="11">
        <f t="shared" si="25"/>
        <v>0</v>
      </c>
      <c r="AP22" s="11">
        <f t="shared" si="25"/>
        <v>0</v>
      </c>
      <c r="AQ22" s="11">
        <f t="shared" si="25"/>
        <v>0</v>
      </c>
      <c r="AR22" s="11">
        <f t="shared" si="25"/>
        <v>0</v>
      </c>
      <c r="AS22" s="11">
        <f t="shared" si="25"/>
        <v>0</v>
      </c>
      <c r="AT22" s="11">
        <f t="shared" si="25"/>
        <v>0</v>
      </c>
    </row>
    <row r="23" spans="1:46" x14ac:dyDescent="0.3">
      <c r="B23" t="s">
        <v>10</v>
      </c>
      <c r="C23" s="3">
        <f>1045333/I16</f>
        <v>1045.3330000000001</v>
      </c>
      <c r="D23" s="3">
        <f>359561/I16</f>
        <v>359.56099999999998</v>
      </c>
      <c r="E23" s="3">
        <f>2068189/I16</f>
        <v>2068.1889999999999</v>
      </c>
      <c r="F23" s="3">
        <v>8</v>
      </c>
      <c r="G23" s="5">
        <f t="shared" si="18"/>
        <v>0.34396790305098945</v>
      </c>
      <c r="H23" s="5">
        <f t="shared" si="19"/>
        <v>0.17385306662012032</v>
      </c>
      <c r="Q23" s="10" t="s">
        <v>11</v>
      </c>
      <c r="R23" t="b">
        <v>0</v>
      </c>
      <c r="S23" s="3">
        <f>4228/O4</f>
        <v>4.2279999999999998</v>
      </c>
      <c r="T23" s="3">
        <f>48092/O4</f>
        <v>48.091999999999999</v>
      </c>
      <c r="U23" s="3">
        <f>48696/O4</f>
        <v>48.695999999999998</v>
      </c>
      <c r="V23" s="3">
        <f>61450/O4</f>
        <v>61.45</v>
      </c>
      <c r="W23" s="3">
        <f>90376/O4</f>
        <v>90.376000000000005</v>
      </c>
      <c r="X23" s="3">
        <f>115789/O4</f>
        <v>115.789</v>
      </c>
      <c r="Y23" s="3">
        <f>181438/O4</f>
        <v>181.43799999999999</v>
      </c>
      <c r="Z23" s="3">
        <f>255963/O4</f>
        <v>255.96299999999999</v>
      </c>
      <c r="AA23" s="3">
        <f>331997/O4</f>
        <v>331.99700000000001</v>
      </c>
      <c r="AB23" s="3">
        <f>352654/O4</f>
        <v>352.654</v>
      </c>
      <c r="AC23" s="3">
        <f>415271/O4</f>
        <v>415.27100000000002</v>
      </c>
      <c r="AD23" s="3">
        <f>517918/O4</f>
        <v>517.91800000000001</v>
      </c>
      <c r="AE23" s="3">
        <f>469697/O4</f>
        <v>469.697</v>
      </c>
      <c r="AG23" s="10" t="s">
        <v>11</v>
      </c>
      <c r="AH23" s="11">
        <f>IF($R23=TRUE,VLOOKUP($R23,$R$23:$AE$23,S$1,),0)</f>
        <v>0</v>
      </c>
      <c r="AI23" s="11">
        <f t="shared" ref="AI23:AT23" si="26">IF($R23=TRUE,VLOOKUP($R23,$R$23:$AE$23,T$1,),0)</f>
        <v>0</v>
      </c>
      <c r="AJ23" s="11">
        <f t="shared" si="26"/>
        <v>0</v>
      </c>
      <c r="AK23" s="11">
        <f t="shared" si="26"/>
        <v>0</v>
      </c>
      <c r="AL23" s="11">
        <f t="shared" si="26"/>
        <v>0</v>
      </c>
      <c r="AM23" s="11">
        <f t="shared" si="26"/>
        <v>0</v>
      </c>
      <c r="AN23" s="11">
        <f t="shared" si="26"/>
        <v>0</v>
      </c>
      <c r="AO23" s="11">
        <f t="shared" si="26"/>
        <v>0</v>
      </c>
      <c r="AP23" s="11">
        <f t="shared" si="26"/>
        <v>0</v>
      </c>
      <c r="AQ23" s="11">
        <f t="shared" si="26"/>
        <v>0</v>
      </c>
      <c r="AR23" s="11">
        <f t="shared" si="26"/>
        <v>0</v>
      </c>
      <c r="AS23" s="11">
        <f t="shared" si="26"/>
        <v>0</v>
      </c>
      <c r="AT23" s="11">
        <f t="shared" si="26"/>
        <v>0</v>
      </c>
    </row>
    <row r="24" spans="1:46" x14ac:dyDescent="0.3">
      <c r="A24" t="s">
        <v>27</v>
      </c>
      <c r="B24" t="s">
        <v>8</v>
      </c>
      <c r="C24" s="3">
        <f>1261689/I16</f>
        <v>1261.6890000000001</v>
      </c>
      <c r="D24" s="3">
        <f>322816/I16</f>
        <v>322.81599999999997</v>
      </c>
      <c r="E24" s="3">
        <f>4748351/I16</f>
        <v>4748.3509999999997</v>
      </c>
      <c r="F24" s="3">
        <v>9</v>
      </c>
      <c r="G24" s="5">
        <f t="shared" si="18"/>
        <v>0.25586020009685428</v>
      </c>
      <c r="H24" s="5">
        <f t="shared" si="19"/>
        <v>6.7984864640377257E-2</v>
      </c>
      <c r="Q24" s="10" t="s">
        <v>5</v>
      </c>
      <c r="R24" t="b">
        <v>0</v>
      </c>
      <c r="S24" s="3">
        <f>215116/O4</f>
        <v>215.11600000000001</v>
      </c>
      <c r="T24" s="3">
        <f>202322/O4</f>
        <v>202.322</v>
      </c>
      <c r="U24" s="3">
        <f>228447/O4</f>
        <v>228.447</v>
      </c>
      <c r="V24" s="3">
        <f>281348/O4</f>
        <v>281.34800000000001</v>
      </c>
      <c r="W24" s="3">
        <f>363807/O4</f>
        <v>363.80700000000002</v>
      </c>
      <c r="X24" s="3">
        <f>399450/O4</f>
        <v>399.45</v>
      </c>
      <c r="Y24" s="3">
        <f>459511/O4</f>
        <v>459.51100000000002</v>
      </c>
      <c r="Z24" s="3">
        <f>467183/O4</f>
        <v>467.18299999999999</v>
      </c>
      <c r="AA24" s="3">
        <f>595250/O4</f>
        <v>595.25</v>
      </c>
      <c r="AB24" s="3">
        <f>671912/O4</f>
        <v>671.91200000000003</v>
      </c>
      <c r="AC24" s="3">
        <f>693671/O4</f>
        <v>693.67100000000005</v>
      </c>
      <c r="AD24" s="3">
        <f>732753/O4</f>
        <v>732.75300000000004</v>
      </c>
      <c r="AE24" s="3">
        <f>723514/O4</f>
        <v>723.51400000000001</v>
      </c>
      <c r="AG24" s="10" t="s">
        <v>5</v>
      </c>
      <c r="AH24" s="11">
        <f>IF($R24=TRUE,VLOOKUP($R24,$R$24:$AE$24,S$1,),0)</f>
        <v>0</v>
      </c>
      <c r="AI24" s="11">
        <f t="shared" ref="AI24:AT24" si="27">IF($R24=TRUE,VLOOKUP($R24,$R$24:$AE$24,T$1,),0)</f>
        <v>0</v>
      </c>
      <c r="AJ24" s="11">
        <f t="shared" si="27"/>
        <v>0</v>
      </c>
      <c r="AK24" s="11">
        <f t="shared" si="27"/>
        <v>0</v>
      </c>
      <c r="AL24" s="11">
        <f t="shared" si="27"/>
        <v>0</v>
      </c>
      <c r="AM24" s="11">
        <f t="shared" si="27"/>
        <v>0</v>
      </c>
      <c r="AN24" s="11">
        <f t="shared" si="27"/>
        <v>0</v>
      </c>
      <c r="AO24" s="11">
        <f t="shared" si="27"/>
        <v>0</v>
      </c>
      <c r="AP24" s="11">
        <f t="shared" si="27"/>
        <v>0</v>
      </c>
      <c r="AQ24" s="11">
        <f t="shared" si="27"/>
        <v>0</v>
      </c>
      <c r="AR24" s="11">
        <f t="shared" si="27"/>
        <v>0</v>
      </c>
      <c r="AS24" s="11">
        <f t="shared" si="27"/>
        <v>0</v>
      </c>
      <c r="AT24" s="11">
        <f t="shared" si="27"/>
        <v>0</v>
      </c>
    </row>
    <row r="25" spans="1:46" x14ac:dyDescent="0.3">
      <c r="B25" t="s">
        <v>12</v>
      </c>
      <c r="C25" s="3">
        <f>783737/I16</f>
        <v>783.73699999999997</v>
      </c>
      <c r="D25" s="3">
        <f>308402/I16</f>
        <v>308.40199999999999</v>
      </c>
      <c r="E25" s="3">
        <f>2507318/I16</f>
        <v>2507.3180000000002</v>
      </c>
      <c r="F25" s="3">
        <v>10</v>
      </c>
      <c r="G25" s="5">
        <f t="shared" si="18"/>
        <v>0.39350190178593075</v>
      </c>
      <c r="H25" s="5">
        <f t="shared" si="19"/>
        <v>0.12300075219816552</v>
      </c>
      <c r="Q25" s="10" t="s">
        <v>7</v>
      </c>
      <c r="R25" t="b">
        <v>0</v>
      </c>
      <c r="S25" s="3">
        <f>156463/O4</f>
        <v>156.46299999999999</v>
      </c>
      <c r="T25" s="3">
        <f>141727/O4</f>
        <v>141.727</v>
      </c>
      <c r="U25" s="3">
        <f>156787/O4</f>
        <v>156.78700000000001</v>
      </c>
      <c r="V25" s="3">
        <f>208077/O4</f>
        <v>208.077</v>
      </c>
      <c r="W25" s="3">
        <f>258048/O4</f>
        <v>258.048</v>
      </c>
      <c r="X25" s="3">
        <f>268480/O4</f>
        <v>268.48</v>
      </c>
      <c r="Y25" s="3">
        <f>341978/O4</f>
        <v>341.97800000000001</v>
      </c>
      <c r="Z25" s="3">
        <f>332688/O4</f>
        <v>332.68799999999999</v>
      </c>
      <c r="AA25" s="3">
        <f>415857/O4</f>
        <v>415.85700000000003</v>
      </c>
      <c r="AB25" s="3">
        <f>437083/O4</f>
        <v>437.08300000000003</v>
      </c>
      <c r="AC25" s="3">
        <f>621622/O4</f>
        <v>621.62199999999996</v>
      </c>
      <c r="AD25" s="3">
        <f>696888/O4</f>
        <v>696.88800000000003</v>
      </c>
      <c r="AE25" s="3">
        <f>702322/O4</f>
        <v>702.322</v>
      </c>
      <c r="AG25" s="10" t="s">
        <v>7</v>
      </c>
      <c r="AH25" s="11">
        <f>IF($R25=TRUE,VLOOKUP($R25,$R$25:$AE$25,S$1,),0)</f>
        <v>0</v>
      </c>
      <c r="AI25" s="11">
        <f t="shared" ref="AI25:AT25" si="28">IF($R25=TRUE,VLOOKUP($R25,$R$25:$AE$25,T$1,),0)</f>
        <v>0</v>
      </c>
      <c r="AJ25" s="11">
        <f t="shared" si="28"/>
        <v>0</v>
      </c>
      <c r="AK25" s="11">
        <f t="shared" si="28"/>
        <v>0</v>
      </c>
      <c r="AL25" s="11">
        <f t="shared" si="28"/>
        <v>0</v>
      </c>
      <c r="AM25" s="11">
        <f t="shared" si="28"/>
        <v>0</v>
      </c>
      <c r="AN25" s="11">
        <f t="shared" si="28"/>
        <v>0</v>
      </c>
      <c r="AO25" s="11">
        <f t="shared" si="28"/>
        <v>0</v>
      </c>
      <c r="AP25" s="11">
        <f t="shared" si="28"/>
        <v>0</v>
      </c>
      <c r="AQ25" s="11">
        <f t="shared" si="28"/>
        <v>0</v>
      </c>
      <c r="AR25" s="11">
        <f t="shared" si="28"/>
        <v>0</v>
      </c>
      <c r="AS25" s="11">
        <f t="shared" si="28"/>
        <v>0</v>
      </c>
      <c r="AT25" s="11">
        <f t="shared" si="28"/>
        <v>0</v>
      </c>
    </row>
    <row r="26" spans="1:46" x14ac:dyDescent="0.3">
      <c r="E26" s="3"/>
      <c r="F26" s="3"/>
      <c r="G26" s="3"/>
      <c r="Q26" s="10" t="s">
        <v>6</v>
      </c>
      <c r="R26" t="b">
        <v>0</v>
      </c>
      <c r="S26" s="3">
        <f>132143/O4</f>
        <v>132.143</v>
      </c>
      <c r="T26" s="3">
        <f>119592/O4</f>
        <v>119.592</v>
      </c>
      <c r="U26" s="3">
        <f>118893/O4</f>
        <v>118.893</v>
      </c>
      <c r="V26" s="3">
        <f>157922/O4</f>
        <v>157.922</v>
      </c>
      <c r="W26" s="3">
        <f>197416/O4</f>
        <v>197.416</v>
      </c>
      <c r="X26" s="3">
        <f>231232/O4</f>
        <v>231.232</v>
      </c>
      <c r="Y26" s="3">
        <f>328866/O4</f>
        <v>328.86599999999999</v>
      </c>
      <c r="Z26" s="3">
        <f>313103/O4</f>
        <v>313.10300000000001</v>
      </c>
      <c r="AA26" s="3">
        <f>324640/O4</f>
        <v>324.64</v>
      </c>
      <c r="AB26" s="3">
        <f>341283/O4</f>
        <v>341.28300000000002</v>
      </c>
      <c r="AC26" s="3">
        <f>370047/O4</f>
        <v>370.04700000000003</v>
      </c>
      <c r="AD26" s="3">
        <f>425744/O4</f>
        <v>425.74400000000003</v>
      </c>
      <c r="AE26" s="3">
        <f>498027/O4</f>
        <v>498.02699999999999</v>
      </c>
      <c r="AG26" s="10" t="s">
        <v>6</v>
      </c>
      <c r="AH26" s="11">
        <f>IF($R26=TRUE,VLOOKUP($R26,$R$26:$AE$26,S$1,),0)</f>
        <v>0</v>
      </c>
      <c r="AI26" s="11">
        <f t="shared" ref="AI26:AT26" si="29">IF($R26=TRUE,VLOOKUP($R26,$R$26:$AE$26,T$1,),0)</f>
        <v>0</v>
      </c>
      <c r="AJ26" s="11">
        <f t="shared" si="29"/>
        <v>0</v>
      </c>
      <c r="AK26" s="11">
        <f t="shared" si="29"/>
        <v>0</v>
      </c>
      <c r="AL26" s="11">
        <f t="shared" si="29"/>
        <v>0</v>
      </c>
      <c r="AM26" s="11">
        <f t="shared" si="29"/>
        <v>0</v>
      </c>
      <c r="AN26" s="11">
        <f t="shared" si="29"/>
        <v>0</v>
      </c>
      <c r="AO26" s="11">
        <f t="shared" si="29"/>
        <v>0</v>
      </c>
      <c r="AP26" s="11">
        <f t="shared" si="29"/>
        <v>0</v>
      </c>
      <c r="AQ26" s="11">
        <f t="shared" si="29"/>
        <v>0</v>
      </c>
      <c r="AR26" s="11">
        <f t="shared" si="29"/>
        <v>0</v>
      </c>
      <c r="AS26" s="11">
        <f t="shared" si="29"/>
        <v>0</v>
      </c>
      <c r="AT26" s="11">
        <f t="shared" si="29"/>
        <v>0</v>
      </c>
    </row>
    <row r="27" spans="1:46" x14ac:dyDescent="0.3">
      <c r="B27" s="15" t="s">
        <v>22</v>
      </c>
      <c r="C27" s="15"/>
      <c r="D27" s="15"/>
      <c r="E27" s="15"/>
      <c r="F27" s="3"/>
      <c r="G27" s="3"/>
      <c r="Q27" s="10" t="s">
        <v>8</v>
      </c>
      <c r="R27" t="b">
        <v>0</v>
      </c>
      <c r="S27" s="3">
        <f>167575/O4</f>
        <v>167.57499999999999</v>
      </c>
      <c r="T27" s="3">
        <f>166972/O4</f>
        <v>166.97200000000001</v>
      </c>
      <c r="U27" s="3">
        <f>176760/O4</f>
        <v>176.76</v>
      </c>
      <c r="V27" s="3">
        <f>202532/O4</f>
        <v>202.53200000000001</v>
      </c>
      <c r="W27" s="3">
        <f>286534/O4</f>
        <v>286.53399999999999</v>
      </c>
      <c r="X27" s="3">
        <f>296563/O4</f>
        <v>296.56299999999999</v>
      </c>
      <c r="Y27" s="3">
        <f>348371/O4</f>
        <v>348.37099999999998</v>
      </c>
      <c r="Z27" s="3">
        <f>315146/O4</f>
        <v>315.14600000000002</v>
      </c>
      <c r="AA27" s="3">
        <f>373883/O4</f>
        <v>373.88299999999998</v>
      </c>
      <c r="AB27" s="3">
        <f>494553/O4</f>
        <v>494.553</v>
      </c>
      <c r="AC27" s="3">
        <f>590948/O4</f>
        <v>590.94799999999998</v>
      </c>
      <c r="AD27" s="3">
        <f>629534/O4</f>
        <v>629.53399999999999</v>
      </c>
      <c r="AE27" s="3">
        <f>698980/O4</f>
        <v>698.98</v>
      </c>
      <c r="AG27" s="10" t="s">
        <v>8</v>
      </c>
      <c r="AH27" s="11">
        <f>IF($R27=TRUE,VLOOKUP($R27,$R$27:$AE$27,S$1,),0)</f>
        <v>0</v>
      </c>
      <c r="AI27" s="11">
        <f t="shared" ref="AI27:AT27" si="30">IF($R27=TRUE,VLOOKUP($R27,$R$27:$AE$27,T$1,),0)</f>
        <v>0</v>
      </c>
      <c r="AJ27" s="11">
        <f t="shared" si="30"/>
        <v>0</v>
      </c>
      <c r="AK27" s="11">
        <f t="shared" si="30"/>
        <v>0</v>
      </c>
      <c r="AL27" s="11">
        <f t="shared" si="30"/>
        <v>0</v>
      </c>
      <c r="AM27" s="11">
        <f t="shared" si="30"/>
        <v>0</v>
      </c>
      <c r="AN27" s="11">
        <f t="shared" si="30"/>
        <v>0</v>
      </c>
      <c r="AO27" s="11">
        <f t="shared" si="30"/>
        <v>0</v>
      </c>
      <c r="AP27" s="11">
        <f t="shared" si="30"/>
        <v>0</v>
      </c>
      <c r="AQ27" s="11">
        <f t="shared" si="30"/>
        <v>0</v>
      </c>
      <c r="AR27" s="11">
        <f t="shared" si="30"/>
        <v>0</v>
      </c>
      <c r="AS27" s="11">
        <f t="shared" si="30"/>
        <v>0</v>
      </c>
      <c r="AT27" s="11">
        <f t="shared" si="30"/>
        <v>0</v>
      </c>
    </row>
    <row r="28" spans="1:46" x14ac:dyDescent="0.3">
      <c r="B28" t="s">
        <v>30</v>
      </c>
      <c r="C28" t="s">
        <v>18</v>
      </c>
      <c r="D28" t="s">
        <v>15</v>
      </c>
      <c r="E28" t="s">
        <v>16</v>
      </c>
      <c r="F28" t="s">
        <v>19</v>
      </c>
      <c r="G28" s="3">
        <v>1000</v>
      </c>
      <c r="Q28" s="10" t="s">
        <v>9</v>
      </c>
      <c r="R28" t="b">
        <v>0</v>
      </c>
      <c r="S28" s="3">
        <f>44284/O4</f>
        <v>44.283999999999999</v>
      </c>
      <c r="T28" s="3">
        <f>64007/O4</f>
        <v>64.007000000000005</v>
      </c>
      <c r="U28" s="3">
        <f>82600/O4</f>
        <v>82.6</v>
      </c>
      <c r="V28" s="3">
        <f>122886/O4</f>
        <v>122.886</v>
      </c>
      <c r="W28" s="3">
        <f>197333/O4</f>
        <v>197.333</v>
      </c>
      <c r="X28" s="3">
        <f>239194/O4</f>
        <v>239.19399999999999</v>
      </c>
      <c r="Y28" s="3">
        <f>373061/O4</f>
        <v>373.06099999999998</v>
      </c>
      <c r="Z28" s="3">
        <f>348223/O4</f>
        <v>348.22300000000001</v>
      </c>
      <c r="AA28" s="3">
        <f>414982/O4</f>
        <v>414.98200000000003</v>
      </c>
      <c r="AB28" s="3">
        <f>411273/O4</f>
        <v>411.27300000000002</v>
      </c>
      <c r="AC28" s="3">
        <f>472085/O4</f>
        <v>472.08499999999998</v>
      </c>
      <c r="AD28" s="3">
        <f>501346/O4</f>
        <v>501.346</v>
      </c>
      <c r="AE28" s="3">
        <f>445619/O4</f>
        <v>445.61900000000003</v>
      </c>
      <c r="AG28" s="10" t="s">
        <v>9</v>
      </c>
      <c r="AH28" s="11">
        <f>IF($R28=TRUE,VLOOKUP($R28,$R$28:$AE$28,S$1,),0)</f>
        <v>0</v>
      </c>
      <c r="AI28" s="11">
        <f t="shared" ref="AI28:AT28" si="31">IF($R28=TRUE,VLOOKUP($R28,$R$28:$AE$28,T$1,),0)</f>
        <v>0</v>
      </c>
      <c r="AJ28" s="11">
        <f t="shared" si="31"/>
        <v>0</v>
      </c>
      <c r="AK28" s="11">
        <f t="shared" si="31"/>
        <v>0</v>
      </c>
      <c r="AL28" s="11">
        <f t="shared" si="31"/>
        <v>0</v>
      </c>
      <c r="AM28" s="11">
        <f t="shared" si="31"/>
        <v>0</v>
      </c>
      <c r="AN28" s="11">
        <f t="shared" si="31"/>
        <v>0</v>
      </c>
      <c r="AO28" s="11">
        <f t="shared" si="31"/>
        <v>0</v>
      </c>
      <c r="AP28" s="11">
        <f t="shared" si="31"/>
        <v>0</v>
      </c>
      <c r="AQ28" s="11">
        <f t="shared" si="31"/>
        <v>0</v>
      </c>
      <c r="AR28" s="11">
        <f t="shared" si="31"/>
        <v>0</v>
      </c>
      <c r="AS28" s="11">
        <f t="shared" si="31"/>
        <v>0</v>
      </c>
      <c r="AT28" s="11">
        <f t="shared" si="31"/>
        <v>0</v>
      </c>
    </row>
    <row r="29" spans="1:46" x14ac:dyDescent="0.3">
      <c r="A29" t="s">
        <v>27</v>
      </c>
      <c r="B29" t="s">
        <v>2</v>
      </c>
      <c r="C29" s="3">
        <f>3727490/G28</f>
        <v>3727.49</v>
      </c>
      <c r="D29" s="3">
        <f>1415841/G28</f>
        <v>1415.8409999999999</v>
      </c>
      <c r="E29" s="3">
        <f>11017879/G28</f>
        <v>11017.879000000001</v>
      </c>
      <c r="F29" s="3">
        <v>1</v>
      </c>
      <c r="G29" s="5">
        <f t="shared" ref="G29:G38" si="32">D29/C29</f>
        <v>0.37983763873276655</v>
      </c>
      <c r="H29" s="5">
        <f>D29/E29</f>
        <v>0.12850395253024649</v>
      </c>
    </row>
    <row r="30" spans="1:46" x14ac:dyDescent="0.3">
      <c r="A30" t="s">
        <v>27</v>
      </c>
      <c r="B30" t="s">
        <v>3</v>
      </c>
      <c r="C30" s="3">
        <f>3622360/G28</f>
        <v>3622.36</v>
      </c>
      <c r="D30" s="3">
        <f>1604606/G28</f>
        <v>1604.606</v>
      </c>
      <c r="E30" s="3">
        <f>8813832/G28</f>
        <v>8813.8320000000003</v>
      </c>
      <c r="F30" s="3">
        <v>2</v>
      </c>
      <c r="G30" s="5">
        <f t="shared" si="32"/>
        <v>0.44297253724091473</v>
      </c>
      <c r="H30" s="5">
        <f t="shared" ref="H30:H38" si="33">D30/E30</f>
        <v>0.18205543286960768</v>
      </c>
    </row>
    <row r="31" spans="1:46" x14ac:dyDescent="0.3">
      <c r="A31" t="s">
        <v>27</v>
      </c>
      <c r="B31" t="s">
        <v>4</v>
      </c>
      <c r="C31" s="3">
        <f>3046924/G28</f>
        <v>3046.924</v>
      </c>
      <c r="D31" s="3">
        <f>1401208/G28</f>
        <v>1401.2080000000001</v>
      </c>
      <c r="E31" s="3">
        <f>4982271/G28</f>
        <v>4982.2709999999997</v>
      </c>
      <c r="F31" s="3">
        <v>3</v>
      </c>
      <c r="G31" s="5">
        <f t="shared" si="32"/>
        <v>0.45987625552852651</v>
      </c>
      <c r="H31" s="5">
        <f t="shared" si="33"/>
        <v>0.28123881659588573</v>
      </c>
    </row>
    <row r="32" spans="1:46" x14ac:dyDescent="0.3">
      <c r="A32" t="s">
        <v>27</v>
      </c>
      <c r="B32" t="s">
        <v>5</v>
      </c>
      <c r="C32" s="3">
        <f>1758292/G28</f>
        <v>1758.2919999999999</v>
      </c>
      <c r="D32" s="3">
        <f>621954/G28</f>
        <v>621.95399999999995</v>
      </c>
      <c r="E32" s="3">
        <f>6034284/G28</f>
        <v>6034.2839999999997</v>
      </c>
      <c r="F32" s="3">
        <v>4</v>
      </c>
      <c r="G32" s="5">
        <f t="shared" si="32"/>
        <v>0.35372622977298424</v>
      </c>
      <c r="H32" s="5">
        <f t="shared" si="33"/>
        <v>0.10307005769035729</v>
      </c>
    </row>
    <row r="33" spans="1:9" x14ac:dyDescent="0.3">
      <c r="A33" t="s">
        <v>27</v>
      </c>
      <c r="B33" t="s">
        <v>6</v>
      </c>
      <c r="C33" s="3">
        <f>1512215/G28</f>
        <v>1512.2149999999999</v>
      </c>
      <c r="D33" s="3">
        <f>528842/G28</f>
        <v>528.84199999999998</v>
      </c>
      <c r="E33" s="3">
        <f>3558908/G28</f>
        <v>3558.9079999999999</v>
      </c>
      <c r="F33" s="3">
        <v>5</v>
      </c>
      <c r="G33" s="5">
        <f t="shared" si="32"/>
        <v>0.34971349973383414</v>
      </c>
      <c r="H33" s="5">
        <f t="shared" si="33"/>
        <v>0.14859670438235548</v>
      </c>
    </row>
    <row r="34" spans="1:9" x14ac:dyDescent="0.3">
      <c r="A34" t="s">
        <v>27</v>
      </c>
      <c r="B34" t="s">
        <v>7</v>
      </c>
      <c r="C34" s="3">
        <f>1425967/G28</f>
        <v>1425.9670000000001</v>
      </c>
      <c r="D34" s="3">
        <f>521810/G28</f>
        <v>521.80999999999995</v>
      </c>
      <c r="E34" s="3">
        <f>4738020/G28</f>
        <v>4738.0200000000004</v>
      </c>
      <c r="F34" s="3">
        <v>6</v>
      </c>
      <c r="G34" s="5">
        <f t="shared" si="32"/>
        <v>0.36593413452064455</v>
      </c>
      <c r="H34" s="5">
        <f t="shared" si="33"/>
        <v>0.11013250260657403</v>
      </c>
    </row>
    <row r="35" spans="1:9" x14ac:dyDescent="0.3">
      <c r="A35" t="s">
        <v>27</v>
      </c>
      <c r="B35" t="s">
        <v>8</v>
      </c>
      <c r="C35" s="3">
        <f>1261689/G28</f>
        <v>1261.6890000000001</v>
      </c>
      <c r="D35" s="3">
        <f>322816/G28</f>
        <v>322.81599999999997</v>
      </c>
      <c r="E35" s="3">
        <f>4748351/G28</f>
        <v>4748.3509999999997</v>
      </c>
      <c r="F35" s="3">
        <v>7</v>
      </c>
      <c r="G35" s="5">
        <f t="shared" si="32"/>
        <v>0.25586020009685428</v>
      </c>
      <c r="H35" s="5">
        <f t="shared" si="33"/>
        <v>6.7984864640377257E-2</v>
      </c>
    </row>
    <row r="36" spans="1:9" x14ac:dyDescent="0.3">
      <c r="A36" t="s">
        <v>27</v>
      </c>
      <c r="B36" t="s">
        <v>9</v>
      </c>
      <c r="C36" s="3">
        <f>1126582/G28</f>
        <v>1126.5820000000001</v>
      </c>
      <c r="D36" s="3">
        <f>375963/G28</f>
        <v>375.96300000000002</v>
      </c>
      <c r="E36" s="3">
        <f>3716893/G28</f>
        <v>3716.893</v>
      </c>
      <c r="F36" s="3">
        <v>8</v>
      </c>
      <c r="G36" s="5">
        <f t="shared" si="32"/>
        <v>0.33372004878473116</v>
      </c>
      <c r="H36" s="5">
        <f t="shared" si="33"/>
        <v>0.10114980441998196</v>
      </c>
    </row>
    <row r="37" spans="1:9" x14ac:dyDescent="0.3">
      <c r="B37" t="s">
        <v>10</v>
      </c>
      <c r="C37" s="3">
        <f>1045333/G28</f>
        <v>1045.3330000000001</v>
      </c>
      <c r="D37" s="3">
        <f>359561/G28</f>
        <v>359.56099999999998</v>
      </c>
      <c r="E37" s="3">
        <f>2068189/G28</f>
        <v>2068.1889999999999</v>
      </c>
      <c r="F37" s="3">
        <v>9</v>
      </c>
      <c r="G37" s="5">
        <f t="shared" si="32"/>
        <v>0.34396790305098945</v>
      </c>
      <c r="H37" s="5">
        <f t="shared" si="33"/>
        <v>0.17385306662012032</v>
      </c>
    </row>
    <row r="38" spans="1:9" x14ac:dyDescent="0.3">
      <c r="B38" t="s">
        <v>11</v>
      </c>
      <c r="C38" s="3">
        <f>960054/G28</f>
        <v>960.05399999999997</v>
      </c>
      <c r="D38" s="3">
        <f>258461/G28</f>
        <v>258.46100000000001</v>
      </c>
      <c r="E38" s="3">
        <f>2931623/G28</f>
        <v>2931.623</v>
      </c>
      <c r="F38" s="3">
        <v>10</v>
      </c>
      <c r="G38" s="5">
        <f t="shared" si="32"/>
        <v>0.2692150649859279</v>
      </c>
      <c r="H38" s="5">
        <f t="shared" si="33"/>
        <v>8.8163109649501317E-2</v>
      </c>
    </row>
    <row r="40" spans="1:9" x14ac:dyDescent="0.3">
      <c r="B40" t="s">
        <v>26</v>
      </c>
    </row>
    <row r="41" spans="1:9" x14ac:dyDescent="0.3">
      <c r="A41">
        <v>1</v>
      </c>
      <c r="B41" s="9" t="s">
        <v>2</v>
      </c>
      <c r="C41" s="8">
        <v>4</v>
      </c>
    </row>
    <row r="42" spans="1:9" x14ac:dyDescent="0.3">
      <c r="A42">
        <v>2</v>
      </c>
      <c r="B42" s="9" t="s">
        <v>3</v>
      </c>
      <c r="C42" s="8">
        <v>5</v>
      </c>
      <c r="I42" t="s">
        <v>25</v>
      </c>
    </row>
    <row r="43" spans="1:9" x14ac:dyDescent="0.3">
      <c r="A43">
        <v>3</v>
      </c>
      <c r="B43" s="9" t="s">
        <v>13</v>
      </c>
      <c r="C43" s="8">
        <v>9</v>
      </c>
    </row>
    <row r="44" spans="1:9" x14ac:dyDescent="0.3">
      <c r="A44">
        <v>4</v>
      </c>
      <c r="B44" s="9" t="s">
        <v>4</v>
      </c>
      <c r="C44" s="8">
        <v>10</v>
      </c>
    </row>
    <row r="45" spans="1:9" x14ac:dyDescent="0.3">
      <c r="A45">
        <v>5</v>
      </c>
      <c r="B45" t="s">
        <v>14</v>
      </c>
      <c r="C45" s="8">
        <v>10</v>
      </c>
    </row>
    <row r="46" spans="1:9" x14ac:dyDescent="0.3">
      <c r="B46" t="s">
        <v>12</v>
      </c>
      <c r="C46" s="8">
        <v>10</v>
      </c>
    </row>
    <row r="47" spans="1:9" x14ac:dyDescent="0.3">
      <c r="B47" t="s">
        <v>11</v>
      </c>
      <c r="C47" s="8">
        <v>10</v>
      </c>
    </row>
    <row r="48" spans="1:9" x14ac:dyDescent="0.3">
      <c r="B48" s="9" t="s">
        <v>5</v>
      </c>
      <c r="C48" s="8">
        <v>11</v>
      </c>
    </row>
    <row r="49" spans="2:8" x14ac:dyDescent="0.3">
      <c r="B49" s="9" t="s">
        <v>7</v>
      </c>
      <c r="C49" s="8">
        <v>18</v>
      </c>
    </row>
    <row r="50" spans="2:8" x14ac:dyDescent="0.3">
      <c r="B50" s="9" t="s">
        <v>6</v>
      </c>
      <c r="C50" s="8">
        <v>18</v>
      </c>
    </row>
    <row r="51" spans="2:8" x14ac:dyDescent="0.3">
      <c r="B51" s="9" t="s">
        <v>8</v>
      </c>
      <c r="C51" s="8">
        <v>21</v>
      </c>
    </row>
    <row r="52" spans="2:8" x14ac:dyDescent="0.3">
      <c r="B52" s="9" t="s">
        <v>9</v>
      </c>
      <c r="C52" s="8">
        <v>22</v>
      </c>
    </row>
    <row r="54" spans="2:8" x14ac:dyDescent="0.3">
      <c r="B54" t="s">
        <v>24</v>
      </c>
      <c r="C54" t="s">
        <v>18</v>
      </c>
      <c r="D54" t="s">
        <v>15</v>
      </c>
      <c r="E54" t="s">
        <v>16</v>
      </c>
      <c r="F54" t="s">
        <v>19</v>
      </c>
      <c r="G54" t="s">
        <v>29</v>
      </c>
      <c r="H54" t="s">
        <v>28</v>
      </c>
    </row>
    <row r="55" spans="2:8" x14ac:dyDescent="0.3">
      <c r="B55" t="s">
        <v>14</v>
      </c>
      <c r="C55" s="3">
        <v>536546</v>
      </c>
      <c r="D55" s="3">
        <v>151806</v>
      </c>
      <c r="E55" s="3">
        <v>3102152</v>
      </c>
      <c r="F55" s="3">
        <v>10</v>
      </c>
      <c r="G55" s="5">
        <f t="shared" ref="G55:G64" si="34">D55/C55</f>
        <v>0.28293193873405076</v>
      </c>
      <c r="H55" s="5">
        <f t="shared" ref="H55:H64" si="35">D55/E55</f>
        <v>4.8935706567569869E-2</v>
      </c>
    </row>
    <row r="56" spans="2:8" x14ac:dyDescent="0.3">
      <c r="B56" t="s">
        <v>13</v>
      </c>
      <c r="C56" s="3">
        <v>760794</v>
      </c>
      <c r="D56" s="3">
        <v>258928</v>
      </c>
      <c r="E56" s="3">
        <v>3209688</v>
      </c>
      <c r="F56" s="3">
        <v>9</v>
      </c>
      <c r="G56" s="5">
        <f t="shared" si="34"/>
        <v>0.34033917197033625</v>
      </c>
      <c r="H56" s="5">
        <f t="shared" si="35"/>
        <v>8.0670769246107416E-2</v>
      </c>
    </row>
    <row r="57" spans="2:8" x14ac:dyDescent="0.3">
      <c r="B57" t="s">
        <v>6</v>
      </c>
      <c r="C57" s="3">
        <v>1512215</v>
      </c>
      <c r="D57" s="3">
        <v>528842</v>
      </c>
      <c r="E57" s="3">
        <v>3558908</v>
      </c>
      <c r="F57" s="3">
        <v>8</v>
      </c>
      <c r="G57" s="5">
        <f t="shared" si="34"/>
        <v>0.34971349973383414</v>
      </c>
      <c r="H57" s="5">
        <f t="shared" si="35"/>
        <v>0.14859670438235548</v>
      </c>
    </row>
    <row r="58" spans="2:8" x14ac:dyDescent="0.3">
      <c r="B58" t="s">
        <v>9</v>
      </c>
      <c r="C58" s="3">
        <v>1126582</v>
      </c>
      <c r="D58" s="3">
        <v>375963</v>
      </c>
      <c r="E58" s="3">
        <v>3716893</v>
      </c>
      <c r="F58" s="3">
        <v>7</v>
      </c>
      <c r="G58" s="5">
        <f t="shared" si="34"/>
        <v>0.33372004878473116</v>
      </c>
      <c r="H58" s="5">
        <f t="shared" si="35"/>
        <v>0.10114980441998196</v>
      </c>
    </row>
    <row r="59" spans="2:8" x14ac:dyDescent="0.3">
      <c r="B59" t="s">
        <v>7</v>
      </c>
      <c r="C59" s="3">
        <v>1425967</v>
      </c>
      <c r="D59" s="3">
        <v>521810</v>
      </c>
      <c r="E59" s="3">
        <v>4738020</v>
      </c>
      <c r="F59" s="3">
        <v>6</v>
      </c>
      <c r="G59" s="5">
        <f t="shared" si="34"/>
        <v>0.36593413452064461</v>
      </c>
      <c r="H59" s="5">
        <f t="shared" si="35"/>
        <v>0.11013250260657405</v>
      </c>
    </row>
    <row r="60" spans="2:8" x14ac:dyDescent="0.3">
      <c r="B60" t="s">
        <v>8</v>
      </c>
      <c r="C60" s="3">
        <v>1261689</v>
      </c>
      <c r="D60" s="3">
        <v>322816</v>
      </c>
      <c r="E60" s="3">
        <v>4748351</v>
      </c>
      <c r="F60" s="3">
        <v>5</v>
      </c>
      <c r="G60" s="5">
        <f t="shared" si="34"/>
        <v>0.25586020009685428</v>
      </c>
      <c r="H60" s="5">
        <f t="shared" si="35"/>
        <v>6.7984864640377257E-2</v>
      </c>
    </row>
    <row r="61" spans="2:8" x14ac:dyDescent="0.3">
      <c r="B61" t="s">
        <v>4</v>
      </c>
      <c r="C61" s="3">
        <v>3046924</v>
      </c>
      <c r="D61" s="3">
        <v>1401208</v>
      </c>
      <c r="E61" s="3">
        <v>4982271</v>
      </c>
      <c r="F61" s="3">
        <v>4</v>
      </c>
      <c r="G61" s="5">
        <f t="shared" si="34"/>
        <v>0.45987625552852646</v>
      </c>
      <c r="H61" s="5">
        <f t="shared" si="35"/>
        <v>0.28123881659588568</v>
      </c>
    </row>
    <row r="62" spans="2:8" x14ac:dyDescent="0.3">
      <c r="B62" t="s">
        <v>5</v>
      </c>
      <c r="C62" s="3">
        <v>1758292</v>
      </c>
      <c r="D62" s="3">
        <v>621954</v>
      </c>
      <c r="E62" s="3">
        <v>6034284</v>
      </c>
      <c r="F62" s="3">
        <v>3</v>
      </c>
      <c r="G62" s="5">
        <f t="shared" si="34"/>
        <v>0.35372622977298424</v>
      </c>
      <c r="H62" s="5">
        <f t="shared" si="35"/>
        <v>0.10307005769035729</v>
      </c>
    </row>
    <row r="63" spans="2:8" x14ac:dyDescent="0.3">
      <c r="B63" t="s">
        <v>3</v>
      </c>
      <c r="C63" s="3">
        <v>3622360</v>
      </c>
      <c r="D63" s="3">
        <v>1604606</v>
      </c>
      <c r="E63" s="3">
        <v>8813832</v>
      </c>
      <c r="F63" s="3">
        <v>2</v>
      </c>
      <c r="G63" s="5">
        <f t="shared" si="34"/>
        <v>0.44297253724091479</v>
      </c>
      <c r="H63" s="5">
        <f t="shared" si="35"/>
        <v>0.18205543286960768</v>
      </c>
    </row>
    <row r="64" spans="2:8" x14ac:dyDescent="0.3">
      <c r="B64" t="s">
        <v>2</v>
      </c>
      <c r="C64" s="3">
        <v>3727490</v>
      </c>
      <c r="D64" s="3">
        <v>1415841</v>
      </c>
      <c r="E64" s="3">
        <v>11017879</v>
      </c>
      <c r="F64" s="3">
        <v>1</v>
      </c>
      <c r="G64" s="5">
        <f t="shared" si="34"/>
        <v>0.37983763873276655</v>
      </c>
      <c r="H64" s="5">
        <f t="shared" si="35"/>
        <v>0.12850395253024652</v>
      </c>
    </row>
    <row r="101" spans="13:13" x14ac:dyDescent="0.3">
      <c r="M101" t="s">
        <v>12</v>
      </c>
    </row>
    <row r="102" spans="13:13" x14ac:dyDescent="0.3">
      <c r="M102" t="s">
        <v>11</v>
      </c>
    </row>
    <row r="342" spans="6:6" x14ac:dyDescent="0.3">
      <c r="F342" s="1"/>
    </row>
  </sheetData>
  <autoFilter ref="B54:H54" xr:uid="{87CD9341-6BA2-4E18-B8E6-4B42C975061D}">
    <sortState xmlns:xlrd2="http://schemas.microsoft.com/office/spreadsheetml/2017/richdata2" ref="B55:H64">
      <sortCondition ref="E54"/>
    </sortState>
  </autoFilter>
  <mergeCells count="4">
    <mergeCell ref="B1:E1"/>
    <mergeCell ref="B14:E14"/>
    <mergeCell ref="B27:E27"/>
    <mergeCell ref="I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Dashbord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OLIVEIRA SOUZA</dc:creator>
  <cp:lastModifiedBy>EDEN OLIVEIRA SOUZA</cp:lastModifiedBy>
  <dcterms:created xsi:type="dcterms:W3CDTF">2024-01-28T17:49:51Z</dcterms:created>
  <dcterms:modified xsi:type="dcterms:W3CDTF">2024-09-09T10:38:08Z</dcterms:modified>
</cp:coreProperties>
</file>