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60" windowWidth="20490" windowHeight="7470" firstSheet="1" activeTab="2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</sheets>
  <definedNames>
    <definedName name="_xlnm.Print_Area" localSheetId="3">'CURVA "S"'!$B$4:$N$41</definedName>
    <definedName name="_xlnm.Print_Area" localSheetId="2">'FÍSICO x FINANCEIRO'!$B$1:$Y$47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R21" i="3" l="1"/>
  <c r="S21" i="3"/>
  <c r="T21" i="3"/>
  <c r="U21" i="3"/>
  <c r="V21" i="3"/>
  <c r="W21" i="3"/>
  <c r="X21" i="3"/>
  <c r="H21" i="3"/>
  <c r="I21" i="3"/>
  <c r="U19" i="3"/>
  <c r="V19" i="3"/>
  <c r="W19" i="3"/>
  <c r="X19" i="3"/>
  <c r="H19" i="3"/>
  <c r="I19" i="3"/>
  <c r="U17" i="3"/>
  <c r="V17" i="3"/>
  <c r="W17" i="3"/>
  <c r="X17" i="3"/>
  <c r="H17" i="3"/>
  <c r="I17" i="3"/>
  <c r="I15" i="3"/>
  <c r="V15" i="3"/>
  <c r="W15" i="3"/>
  <c r="X15" i="3"/>
  <c r="H15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H11" i="3"/>
  <c r="K13" i="3" l="1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J13" i="3"/>
  <c r="C15" i="3"/>
  <c r="J16" i="3" l="1"/>
  <c r="J15" i="3" s="1"/>
  <c r="X5" i="3"/>
  <c r="X6" i="3" s="1"/>
  <c r="I14" i="3"/>
  <c r="I13" i="3" s="1"/>
  <c r="H14" i="3"/>
  <c r="H13" i="3" s="1"/>
  <c r="B4" i="3" l="1"/>
  <c r="X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Y10" i="3"/>
  <c r="T2" i="4"/>
  <c r="S2" i="4"/>
  <c r="R2" i="4"/>
  <c r="E2" i="4"/>
  <c r="W1" i="5"/>
  <c r="U1" i="5"/>
  <c r="G61" i="2"/>
  <c r="G38" i="2"/>
  <c r="G37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2" i="2"/>
  <c r="G51" i="2"/>
  <c r="M28" i="3"/>
  <c r="E123" i="1"/>
  <c r="C123" i="1"/>
  <c r="L122" i="1"/>
  <c r="E122" i="1"/>
  <c r="C122" i="1"/>
  <c r="L121" i="1"/>
  <c r="E121" i="1"/>
  <c r="C121" i="1"/>
  <c r="L11" i="1"/>
  <c r="I13" i="1" s="1"/>
  <c r="L13" i="1" s="1"/>
  <c r="G46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48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6" i="2"/>
  <c r="G55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2" i="2"/>
  <c r="G73" i="2"/>
  <c r="G74" i="2"/>
  <c r="G8" i="2"/>
  <c r="G9" i="2"/>
  <c r="G10" i="2"/>
  <c r="G11" i="2"/>
  <c r="G12" i="2"/>
  <c r="G13" i="2"/>
  <c r="G16" i="2"/>
  <c r="G17" i="2"/>
  <c r="G14" i="2" s="1"/>
  <c r="Y11" i="3" s="1"/>
  <c r="G18" i="2"/>
  <c r="G21" i="2"/>
  <c r="G22" i="2"/>
  <c r="G23" i="2"/>
  <c r="G24" i="2"/>
  <c r="G33" i="2"/>
  <c r="G34" i="2"/>
  <c r="G36" i="2"/>
  <c r="G35" i="2" s="1"/>
  <c r="G63" i="2"/>
  <c r="G64" i="2"/>
  <c r="G65" i="2"/>
  <c r="G66" i="2"/>
  <c r="G67" i="2"/>
  <c r="G68" i="2"/>
  <c r="G70" i="2"/>
  <c r="G69" i="2"/>
  <c r="N40" i="3"/>
  <c r="N39" i="3" s="1"/>
  <c r="Y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4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0" i="2"/>
  <c r="M22" i="3" s="1"/>
  <c r="M21" i="3" s="1"/>
  <c r="L10" i="1"/>
  <c r="G42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0" i="2"/>
  <c r="L116" i="1"/>
  <c r="G41" i="2"/>
  <c r="L109" i="1"/>
  <c r="L112" i="1"/>
  <c r="G49" i="2"/>
  <c r="G47" i="2" s="1"/>
  <c r="G44" i="2"/>
  <c r="G43" i="2" s="1"/>
  <c r="J24" i="3" s="1"/>
  <c r="J23" i="3" s="1"/>
  <c r="L117" i="1"/>
  <c r="I12" i="1"/>
  <c r="L12" i="1"/>
  <c r="G45" i="2"/>
  <c r="Y12" i="3"/>
  <c r="G71" i="2"/>
  <c r="G62" i="2"/>
  <c r="G39" i="2"/>
  <c r="G25" i="2"/>
  <c r="M16" i="3"/>
  <c r="M15" i="3" s="1"/>
  <c r="G20" i="2"/>
  <c r="G58" i="2"/>
  <c r="G57" i="2" s="1"/>
  <c r="G60" i="2"/>
  <c r="G59" i="2"/>
  <c r="P36" i="3" s="1"/>
  <c r="P35" i="3" s="1"/>
  <c r="G53" i="2"/>
  <c r="S30" i="3" s="1"/>
  <c r="L26" i="3"/>
  <c r="L25" i="3" s="1"/>
  <c r="N26" i="3"/>
  <c r="N25" i="3" s="1"/>
  <c r="T36" i="3"/>
  <c r="T35" i="3" s="1"/>
  <c r="Q36" i="3"/>
  <c r="Q35" i="3" s="1"/>
  <c r="R36" i="3"/>
  <c r="R35" i="3" s="1"/>
  <c r="U36" i="3"/>
  <c r="U35" i="3" s="1"/>
  <c r="O36" i="3"/>
  <c r="O35" i="3" s="1"/>
  <c r="S36" i="3"/>
  <c r="S35" i="3" s="1"/>
  <c r="L20" i="3"/>
  <c r="L19" i="3" s="1"/>
  <c r="P20" i="3"/>
  <c r="P19" i="3" s="1"/>
  <c r="M20" i="3"/>
  <c r="M19" i="3" s="1"/>
  <c r="J20" i="3"/>
  <c r="J19" i="3" s="1"/>
  <c r="R20" i="3"/>
  <c r="R19" i="3" s="1"/>
  <c r="O20" i="3"/>
  <c r="O19" i="3" s="1"/>
  <c r="S32" i="3"/>
  <c r="S31" i="3" s="1"/>
  <c r="N38" i="3"/>
  <c r="N37" i="3" s="1"/>
  <c r="L38" i="3"/>
  <c r="L37" i="3" s="1"/>
  <c r="T16" i="3"/>
  <c r="T15" i="3" s="1"/>
  <c r="P16" i="3"/>
  <c r="P15" i="3" s="1"/>
  <c r="L16" i="3"/>
  <c r="L15" i="3" s="1"/>
  <c r="P22" i="3"/>
  <c r="P21" i="3" s="1"/>
  <c r="R28" i="3"/>
  <c r="R27" i="3" s="1"/>
  <c r="V1" i="5"/>
  <c r="S16" i="3"/>
  <c r="S15" i="3" s="1"/>
  <c r="O16" i="3"/>
  <c r="O15" i="3" s="1"/>
  <c r="K16" i="3"/>
  <c r="K15" i="3" s="1"/>
  <c r="O22" i="3"/>
  <c r="O21" i="3" s="1"/>
  <c r="L28" i="3"/>
  <c r="L27" i="3" s="1"/>
  <c r="O28" i="3"/>
  <c r="O27" i="3" s="1"/>
  <c r="X44" i="3"/>
  <c r="R16" i="3"/>
  <c r="R15" i="3" s="1"/>
  <c r="N16" i="3"/>
  <c r="N15" i="3" s="1"/>
  <c r="Q18" i="3"/>
  <c r="Q17" i="3" s="1"/>
  <c r="K22" i="3"/>
  <c r="K21" i="3" s="1"/>
  <c r="S28" i="3"/>
  <c r="S27" i="3" s="1"/>
  <c r="Q28" i="3"/>
  <c r="Q27" i="3" s="1"/>
  <c r="N28" i="3"/>
  <c r="N27" i="3" s="1"/>
  <c r="U16" i="3"/>
  <c r="U15" i="3" s="1"/>
  <c r="Q16" i="3"/>
  <c r="Q15" i="3" s="1"/>
  <c r="P28" i="3"/>
  <c r="P27" i="3" s="1"/>
  <c r="I24" i="3"/>
  <c r="X1" i="5"/>
  <c r="T1" i="5"/>
  <c r="V1" i="4"/>
  <c r="W1" i="4"/>
  <c r="X1" i="4"/>
  <c r="Y1" i="4"/>
  <c r="Z1" i="4"/>
  <c r="J22" i="3" l="1"/>
  <c r="J21" i="3" s="1"/>
  <c r="N34" i="3"/>
  <c r="N33" i="3" s="1"/>
  <c r="O34" i="3"/>
  <c r="O33" i="3" s="1"/>
  <c r="S29" i="3"/>
  <c r="Y29" i="3" s="1"/>
  <c r="Y30" i="3"/>
  <c r="I23" i="3"/>
  <c r="Y23" i="3" s="1"/>
  <c r="Y24" i="3"/>
  <c r="Y16" i="3"/>
  <c r="M34" i="3"/>
  <c r="V42" i="3"/>
  <c r="W42" i="3"/>
  <c r="L18" i="3"/>
  <c r="L17" i="3" s="1"/>
  <c r="M18" i="3"/>
  <c r="M17" i="3" s="1"/>
  <c r="T18" i="3"/>
  <c r="T17" i="3" s="1"/>
  <c r="S18" i="3"/>
  <c r="S17" i="3" s="1"/>
  <c r="K18" i="3"/>
  <c r="K17" i="3" s="1"/>
  <c r="N18" i="3"/>
  <c r="N17" i="3" s="1"/>
  <c r="J18" i="3"/>
  <c r="R18" i="3"/>
  <c r="R17" i="3" s="1"/>
  <c r="O18" i="3"/>
  <c r="O17" i="3" s="1"/>
  <c r="P18" i="3"/>
  <c r="P17" i="3" s="1"/>
  <c r="M38" i="3"/>
  <c r="O38" i="3"/>
  <c r="O37" i="3" s="1"/>
  <c r="K26" i="3"/>
  <c r="M26" i="3"/>
  <c r="M25" i="3" s="1"/>
  <c r="S26" i="3"/>
  <c r="S25" i="3" s="1"/>
  <c r="Q26" i="3"/>
  <c r="Q25" i="3" s="1"/>
  <c r="R26" i="3"/>
  <c r="R25" i="3" s="1"/>
  <c r="Q32" i="3"/>
  <c r="Q31" i="3" s="1"/>
  <c r="P32" i="3"/>
  <c r="Y28" i="3"/>
  <c r="U45" i="3"/>
  <c r="R32" i="3"/>
  <c r="R31" i="3" s="1"/>
  <c r="O26" i="3"/>
  <c r="O25" i="3" s="1"/>
  <c r="P26" i="3"/>
  <c r="P25" i="3" s="1"/>
  <c r="N22" i="3"/>
  <c r="N21" i="3" s="1"/>
  <c r="Q22" i="3"/>
  <c r="Q21" i="3" s="1"/>
  <c r="L22" i="3"/>
  <c r="L21" i="3" s="1"/>
  <c r="G7" i="2"/>
  <c r="M27" i="3"/>
  <c r="Y27" i="3" s="1"/>
  <c r="N20" i="3"/>
  <c r="N19" i="3" s="1"/>
  <c r="K20" i="3"/>
  <c r="K19" i="3" s="1"/>
  <c r="S20" i="3"/>
  <c r="S19" i="3" s="1"/>
  <c r="T20" i="3"/>
  <c r="T19" i="3" s="1"/>
  <c r="Q20" i="3"/>
  <c r="Q19" i="3" s="1"/>
  <c r="N36" i="3"/>
  <c r="N35" i="3" s="1"/>
  <c r="M36" i="3"/>
  <c r="J45" i="3" l="1"/>
  <c r="J17" i="3"/>
  <c r="Y42" i="3"/>
  <c r="J44" i="3"/>
  <c r="F1" i="5"/>
  <c r="Q45" i="3"/>
  <c r="U44" i="3"/>
  <c r="Q1" i="5"/>
  <c r="Y21" i="3"/>
  <c r="Y20" i="3"/>
  <c r="O45" i="3"/>
  <c r="L45" i="3"/>
  <c r="K25" i="3"/>
  <c r="Y25" i="3" s="1"/>
  <c r="Y26" i="3"/>
  <c r="P45" i="3"/>
  <c r="M33" i="3"/>
  <c r="Y33" i="3" s="1"/>
  <c r="Y34" i="3"/>
  <c r="G4" i="2"/>
  <c r="P31" i="3"/>
  <c r="Y31" i="3" s="1"/>
  <c r="Y14" i="3"/>
  <c r="H45" i="3"/>
  <c r="R45" i="3"/>
  <c r="W45" i="3"/>
  <c r="W44" i="3" s="1"/>
  <c r="W41" i="3"/>
  <c r="N45" i="3"/>
  <c r="K45" i="3"/>
  <c r="Y22" i="3"/>
  <c r="M45" i="3"/>
  <c r="Y36" i="3"/>
  <c r="M35" i="3"/>
  <c r="Y35" i="3" s="1"/>
  <c r="M37" i="3"/>
  <c r="Y37" i="3" s="1"/>
  <c r="Y38" i="3"/>
  <c r="I45" i="3"/>
  <c r="Y18" i="3"/>
  <c r="T45" i="3"/>
  <c r="V41" i="3"/>
  <c r="V45" i="3"/>
  <c r="Y15" i="3"/>
  <c r="S45" i="3"/>
  <c r="N44" i="3" l="1"/>
  <c r="J1" i="5"/>
  <c r="E1" i="5"/>
  <c r="I44" i="3"/>
  <c r="K44" i="3"/>
  <c r="G1" i="5"/>
  <c r="R44" i="3"/>
  <c r="N1" i="5"/>
  <c r="Y13" i="3"/>
  <c r="P44" i="3"/>
  <c r="L1" i="5"/>
  <c r="M1" i="5"/>
  <c r="Q44" i="3"/>
  <c r="D1" i="5"/>
  <c r="H44" i="3"/>
  <c r="D47" i="3"/>
  <c r="D48" i="3"/>
  <c r="K1" i="5"/>
  <c r="O44" i="3"/>
  <c r="V44" i="3"/>
  <c r="R1" i="5"/>
  <c r="M44" i="3"/>
  <c r="I1" i="5"/>
  <c r="L44" i="3"/>
  <c r="H1" i="5"/>
  <c r="Y41" i="3"/>
  <c r="Y17" i="3"/>
  <c r="O1" i="5"/>
  <c r="S44" i="3"/>
  <c r="P1" i="5"/>
  <c r="T44" i="3"/>
  <c r="Y19" i="3"/>
  <c r="H46" i="3" l="1"/>
  <c r="E1" i="4" s="1"/>
  <c r="Y44" i="3"/>
  <c r="I46" i="3" l="1"/>
  <c r="F1" i="4" l="1"/>
  <c r="J46" i="3"/>
  <c r="G1" i="4" l="1"/>
  <c r="K46" i="3"/>
  <c r="H1" i="4" l="1"/>
  <c r="L46" i="3"/>
  <c r="I1" i="4" l="1"/>
  <c r="M46" i="3"/>
  <c r="J1" i="4" l="1"/>
  <c r="N46" i="3"/>
  <c r="K1" i="4" l="1"/>
  <c r="O46" i="3"/>
  <c r="L1" i="4" l="1"/>
  <c r="P46" i="3"/>
  <c r="M1" i="4" l="1"/>
  <c r="Q46" i="3"/>
  <c r="N1" i="4" l="1"/>
  <c r="R46" i="3"/>
  <c r="O1" i="4" l="1"/>
  <c r="S46" i="3"/>
  <c r="P1" i="4" l="1"/>
  <c r="T46" i="3"/>
  <c r="Q1" i="4" l="1"/>
  <c r="U46" i="3"/>
  <c r="R1" i="4" l="1"/>
  <c r="V46" i="3"/>
  <c r="S1" i="4" l="1"/>
  <c r="W46" i="3"/>
  <c r="T1" i="4" l="1"/>
  <c r="X46" i="3"/>
  <c r="U1" i="4" s="1"/>
  <c r="Y32" i="3"/>
  <c r="Y40" i="3" l="1"/>
  <c r="Y45" i="3" s="1"/>
  <c r="H9" i="3"/>
  <c r="H5" i="3" s="1"/>
  <c r="H6" i="3" l="1"/>
  <c r="I5" i="3"/>
  <c r="Y9" i="3"/>
  <c r="E3" i="3" s="1"/>
  <c r="J5" i="3" l="1"/>
  <c r="I6" i="3"/>
  <c r="K5" i="3" l="1"/>
  <c r="J6" i="3"/>
  <c r="K6" i="3" l="1"/>
  <c r="L5" i="3"/>
  <c r="L6" i="3" l="1"/>
  <c r="M5" i="3"/>
  <c r="N5" i="3" l="1"/>
  <c r="M6" i="3"/>
  <c r="O5" i="3" l="1"/>
  <c r="N6" i="3"/>
  <c r="P5" i="3" l="1"/>
  <c r="O6" i="3"/>
  <c r="P6" i="3" l="1"/>
  <c r="Q5" i="3"/>
  <c r="Q6" i="3" l="1"/>
  <c r="R5" i="3"/>
  <c r="R6" i="3" l="1"/>
  <c r="S5" i="3"/>
  <c r="S6" i="3" l="1"/>
  <c r="T5" i="3"/>
  <c r="T6" i="3" l="1"/>
  <c r="U5" i="3"/>
  <c r="V5" i="3" l="1"/>
  <c r="U6" i="3"/>
  <c r="V6" i="3" l="1"/>
  <c r="W5" i="3"/>
  <c r="W6" i="3" s="1"/>
</calcChain>
</file>

<file path=xl/sharedStrings.xml><?xml version="1.0" encoding="utf-8"?>
<sst xmlns="http://schemas.openxmlformats.org/spreadsheetml/2006/main" count="1904" uniqueCount="310">
  <si>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</si>
  <si>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</si>
  <si>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</si>
  <si>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</si>
  <si>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</si>
  <si>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</si>
  <si>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</si>
  <si>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</si>
  <si>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</si>
  <si>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</si>
  <si>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</si>
  <si>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</si>
  <si>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</si>
  <si>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</si>
  <si>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</si>
  <si>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</si>
  <si>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</si>
  <si>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</si>
  <si>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</si>
  <si>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</si>
  <si>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</si>
  <si>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</si>
  <si>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</si>
  <si>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</si>
  <si>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</si>
  <si>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</si>
  <si>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</si>
  <si>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</si>
  <si>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</si>
  <si>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</si>
  <si>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</si>
  <si>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</si>
  <si>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</si>
  <si>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</si>
  <si>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</si>
  <si>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</si>
  <si>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</si>
  <si>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</si>
  <si>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</si>
  <si>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</si>
  <si>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</si>
  <si>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</si>
  <si>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</si>
  <si>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</si>
  <si>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</si>
  <si>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</si>
  <si>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</si>
  <si>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</si>
  <si>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</si>
  <si>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</si>
  <si>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</si>
  <si>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</si>
  <si>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</si>
  <si>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</si>
  <si>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</si>
  <si>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</si>
  <si>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</si>
  <si>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</si>
  <si>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</si>
  <si>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</si>
  <si>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</si>
  <si>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</si>
  <si>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</si>
  <si>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</si>
  <si>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</si>
  <si>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</si>
  <si>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</si>
  <si>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</si>
  <si>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</si>
  <si>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</si>
  <si>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</si>
  <si>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</si>
  <si>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</si>
  <si>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</si>
  <si>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</si>
  <si>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</si>
  <si>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</si>
  <si>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</si>
  <si>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</si>
  <si>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</si>
  <si>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</si>
  <si>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</si>
  <si>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</si>
  <si>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</si>
  <si>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</si>
  <si>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</si>
  <si>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</si>
  <si>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</si>
  <si>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</si>
  <si>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</si>
  <si>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</si>
  <si>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</si>
  <si>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</si>
  <si>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</si>
  <si>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</si>
  <si>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</si>
  <si>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</si>
  <si>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</si>
  <si>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</si>
  <si>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</si>
  <si>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</si>
  <si>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</si>
  <si>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</si>
  <si>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</si>
  <si>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</si>
  <si>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</si>
  <si>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</si>
  <si>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</si>
  <si>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</si>
  <si>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</si>
  <si>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</si>
  <si>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</si>
  <si>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</si>
  <si>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</si>
  <si>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</si>
  <si>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</si>
  <si>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</si>
  <si>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</si>
  <si>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</si>
  <si>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</si>
  <si>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</si>
  <si>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</si>
  <si>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</si>
  <si>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</si>
  <si>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</si>
  <si>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</si>
  <si>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</si>
  <si>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</si>
  <si>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</si>
  <si>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</si>
  <si>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</si>
  <si>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</si>
  <si>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</si>
  <si>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</si>
  <si>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</si>
  <si>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</si>
  <si>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</si>
  <si>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</si>
  <si>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</si>
  <si>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</si>
  <si>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</si>
  <si>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</si>
  <si>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</si>
  <si>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</si>
  <si>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</si>
  <si>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</si>
  <si>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</si>
  <si>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</si>
  <si>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</si>
  <si>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</si>
  <si>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</si>
  <si>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</si>
  <si>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</si>
  <si>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</si>
  <si>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</si>
  <si>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</si>
  <si>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</si>
  <si>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</si>
  <si>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</si>
  <si>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</si>
  <si>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</si>
  <si>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</si>
  <si>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</si>
  <si>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</si>
  <si>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</si>
  <si>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</si>
  <si>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</si>
  <si>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</si>
  <si>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</si>
  <si>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</si>
  <si>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</si>
  <si>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</si>
  <si>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</si>
  <si>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</si>
  <si>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</si>
  <si>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</si>
  <si>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</si>
  <si>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</si>
  <si>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</si>
  <si>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</si>
  <si>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</si>
  <si>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</si>
  <si>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</si>
  <si>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</si>
  <si>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</si>
  <si>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</si>
  <si>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</si>
  <si>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</si>
  <si>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</si>
  <si>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</si>
  <si>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</si>
  <si>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</si>
  <si>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</si>
  <si>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</si>
  <si>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</si>
  <si>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</si>
  <si>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</si>
  <si>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</si>
  <si>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</si>
  <si>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</si>
  <si>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</si>
  <si>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</si>
  <si>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</si>
  <si>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</si>
  <si>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</si>
  <si>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</si>
  <si>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</si>
  <si>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</si>
  <si>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</si>
  <si>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</si>
  <si>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</si>
  <si>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</si>
  <si>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</si>
  <si>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</si>
  <si>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</si>
  <si>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</si>
  <si>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</si>
  <si>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</si>
  <si>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</si>
  <si>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</si>
  <si>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</si>
  <si>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</si>
  <si>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</si>
  <si>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</si>
  <si>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</si>
  <si>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</si>
  <si>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</si>
  <si>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</si>
  <si>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</si>
  <si>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</si>
  <si>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</si>
  <si>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</si>
  <si>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</si>
  <si>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</si>
  <si>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</si>
  <si>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</si>
  <si>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</si>
  <si>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</si>
  <si>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</si>
  <si>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</si>
  <si>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</si>
  <si>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</si>
  <si>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</si>
  <si>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</si>
  <si>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</si>
  <si>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</si>
  <si>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</si>
  <si>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</si>
  <si>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</si>
  <si>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</si>
  <si>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</si>
  <si>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</si>
  <si>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</si>
  <si>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</si>
  <si>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</si>
  <si>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</si>
  <si>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</si>
  <si>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</si>
  <si>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</si>
  <si>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</si>
  <si>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</si>
  <si>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</si>
  <si>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</si>
  <si>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</si>
  <si>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</si>
  <si>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</si>
  <si>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</si>
  <si>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</si>
  <si>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</si>
  <si>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</si>
  <si>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</si>
  <si>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</si>
  <si>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</si>
  <si>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</si>
  <si>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</si>
  <si>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</si>
  <si>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</si>
  <si>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</si>
  <si>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</si>
  <si>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</si>
  <si>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</si>
  <si>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</si>
  <si>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</si>
  <si>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</si>
  <si>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</si>
  <si>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</si>
  <si>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</si>
  <si>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</si>
  <si>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</si>
  <si>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</si>
  <si>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</si>
  <si>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</si>
  <si>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</si>
  <si>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</si>
  <si>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</si>
  <si>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</si>
  <si>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</si>
  <si>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</si>
  <si>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</si>
  <si>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</si>
  <si>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</si>
  <si>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</si>
  <si>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</si>
  <si>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</si>
  <si>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</si>
  <si>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</si>
  <si>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Cancelado</t>
  </si>
  <si>
    <t>Interrompido</t>
  </si>
  <si>
    <t>Início</t>
  </si>
  <si>
    <t>Término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</si>
</sst>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#,##0.0"/>
    <numFmt numFmtId="178" formatCode="0.0%"/>
    <numFmt numFmtId="179" formatCode="&quot;R$&quot;\ #,##0.00"/>
    <numFmt numFmtId="180" formatCode="&quot;R$ &quot;#,##0.00"/>
  </numFmts>
  <fonts count="34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16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9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179" fontId="10" fillId="2" borderId="0" xfId="0" applyNumberFormat="1" applyFont="1" applyFill="1" applyAlignment="1">
      <alignment horizontal="left" vertical="center" indent="1"/>
    </xf>
    <xf numFmtId="0" fontId="13" fillId="2" borderId="0" xfId="0" applyFont="1" applyFill="1"/>
    <xf numFmtId="4" fontId="10" fillId="2" borderId="0" xfId="0" applyNumberFormat="1" applyFont="1" applyFill="1" applyAlignment="1">
      <alignment horizontal="right" vertical="center" indent="1"/>
    </xf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2" fontId="16" fillId="3" borderId="2" xfId="0" applyNumberFormat="1" applyFont="1" applyFill="1" applyBorder="1" applyAlignment="1">
      <alignment horizontal="center" vertical="center"/>
    </xf>
    <xf numFmtId="4" fontId="21" fillId="3" borderId="20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2" fontId="16" fillId="2" borderId="21" xfId="0" applyNumberFormat="1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horizontal="left" vertical="center" indent="1"/>
    </xf>
    <xf numFmtId="4" fontId="16" fillId="2" borderId="12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2" fontId="16" fillId="2" borderId="12" xfId="0" applyNumberFormat="1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2" fontId="16" fillId="2" borderId="22" xfId="0" applyNumberFormat="1" applyFont="1" applyFill="1" applyBorder="1" applyAlignment="1">
      <alignment horizontal="center" vertical="center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2" fontId="16" fillId="3" borderId="17" xfId="0" applyNumberFormat="1" applyFont="1" applyFill="1" applyBorder="1" applyAlignment="1">
      <alignment horizontal="center" vertical="center"/>
    </xf>
    <xf numFmtId="4" fontId="21" fillId="3" borderId="25" xfId="0" applyNumberFormat="1" applyFont="1" applyFill="1" applyBorder="1" applyAlignment="1">
      <alignment horizontal="center" vertical="center"/>
    </xf>
    <xf numFmtId="180" fontId="18" fillId="3" borderId="26" xfId="0" applyNumberFormat="1" applyFont="1" applyFill="1" applyBorder="1"/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177" fontId="25" fillId="2" borderId="28" xfId="0" applyNumberFormat="1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4" fontId="25" fillId="2" borderId="29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17" fontId="14" fillId="5" borderId="23" xfId="0" applyNumberFormat="1" applyFont="1" applyFill="1" applyBorder="1" applyAlignment="1">
      <alignment horizontal="center" vertical="center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9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8" fontId="16" fillId="3" borderId="21" xfId="0" applyNumberFormat="1" applyFont="1" applyFill="1" applyBorder="1" applyAlignment="1">
      <alignment horizontal="center" vertical="center"/>
    </xf>
    <xf numFmtId="179" fontId="21" fillId="3" borderId="22" xfId="0" applyNumberFormat="1" applyFont="1" applyFill="1" applyBorder="1" applyAlignment="1">
      <alignment horizontal="center" vertical="center"/>
    </xf>
    <xf numFmtId="179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9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8" fontId="16" fillId="7" borderId="21" xfId="0" applyNumberFormat="1" applyFont="1" applyFill="1" applyBorder="1" applyAlignment="1">
      <alignment horizontal="left" vertical="center" indent="1"/>
    </xf>
    <xf numFmtId="179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9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9" fontId="16" fillId="0" borderId="22" xfId="0" applyNumberFormat="1" applyFont="1" applyFill="1" applyBorder="1" applyAlignment="1">
      <alignment horizontal="left" vertical="center" indent="1"/>
    </xf>
    <xf numFmtId="178" fontId="16" fillId="0" borderId="21" xfId="0" applyNumberFormat="1" applyFont="1" applyFill="1" applyBorder="1" applyAlignment="1">
      <alignment horizontal="left" vertical="center" indent="1"/>
    </xf>
    <xf numFmtId="178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7" fillId="0" borderId="0" xfId="0" applyFont="1" applyFill="1" applyAlignment="1">
      <alignment horizontal="left" vertical="center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0" borderId="23" xfId="0" applyBorder="1"/>
  </cellXfs>
  <cellStyles count="5"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21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171584"/>
        <c:axId val="335173120"/>
      </c:lineChart>
      <c:catAx>
        <c:axId val="33517158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5173120"/>
        <c:crosses val="autoZero"/>
        <c:auto val="1"/>
        <c:lblAlgn val="ctr"/>
        <c:lblOffset val="100"/>
        <c:tickMarkSkip val="1"/>
        <c:noMultiLvlLbl val="0"/>
      </c:catAx>
      <c:valAx>
        <c:axId val="33517312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517158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FINANCEIRO'!$H$45:$W$45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136256"/>
        <c:axId val="33513779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192832"/>
        <c:axId val="335194368"/>
      </c:lineChart>
      <c:catAx>
        <c:axId val="33513625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5137792"/>
        <c:crosses val="autoZero"/>
        <c:auto val="1"/>
        <c:lblAlgn val="ctr"/>
        <c:lblOffset val="100"/>
        <c:tickMarkSkip val="1"/>
        <c:noMultiLvlLbl val="0"/>
      </c:catAx>
      <c:valAx>
        <c:axId val="33513779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35136256"/>
        <c:crosses val="autoZero"/>
        <c:crossBetween val="midCat"/>
        <c:majorUnit val="1"/>
      </c:valAx>
      <c:catAx>
        <c:axId val="335192832"/>
        <c:scaling>
          <c:orientation val="minMax"/>
        </c:scaling>
        <c:delete val="1"/>
        <c:axPos val="b"/>
        <c:majorTickMark val="out"/>
        <c:minorTickMark val="none"/>
        <c:tickLblPos val="nextTo"/>
        <c:crossAx val="335194368"/>
        <c:crosses val="autoZero"/>
        <c:auto val="1"/>
        <c:lblAlgn val="ctr"/>
        <c:lblOffset val="100"/>
        <c:noMultiLvlLbl val="0"/>
      </c:catAx>
      <c:valAx>
        <c:axId val="33519436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5192832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topLeftCell="A16"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31" customFormat="1" ht="12.75" customHeight="1" x14ac:dyDescent="0.2">
      <c r="A1" s="30"/>
      <c r="B1" s="155" t="s">
        <v>252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</row>
    <row r="2" spans="1:12" s="31" customFormat="1" ht="20.25" customHeight="1" x14ac:dyDescent="0.2">
      <c r="A2" s="30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</row>
    <row r="3" spans="1:12" s="31" customFormat="1" ht="15.75" customHeight="1" x14ac:dyDescent="0.2">
      <c r="A3" s="30"/>
      <c r="B3" s="156" t="s">
        <v>280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</row>
    <row r="4" spans="1:12" s="31" customFormat="1" ht="13.5" thickBot="1" x14ac:dyDescent="0.25">
      <c r="A4" s="30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</row>
    <row r="5" spans="1:12" s="113" customFormat="1" ht="18.75" customHeight="1" thickBot="1" x14ac:dyDescent="0.25">
      <c r="B5" s="114" t="s">
        <v>0</v>
      </c>
      <c r="C5" s="115" t="s">
        <v>1</v>
      </c>
      <c r="D5" s="115" t="s">
        <v>209</v>
      </c>
      <c r="E5" s="115" t="s">
        <v>210</v>
      </c>
      <c r="F5" s="115" t="s">
        <v>25</v>
      </c>
      <c r="G5" s="115" t="s">
        <v>256</v>
      </c>
      <c r="H5" s="115" t="s">
        <v>270</v>
      </c>
      <c r="I5" s="115" t="s">
        <v>253</v>
      </c>
      <c r="J5" s="115" t="s">
        <v>254</v>
      </c>
      <c r="K5" s="115" t="s">
        <v>255</v>
      </c>
      <c r="L5" s="116" t="s">
        <v>27</v>
      </c>
    </row>
    <row r="6" spans="1:12" x14ac:dyDescent="0.2">
      <c r="B6" s="36" t="s">
        <v>3</v>
      </c>
      <c r="C6" s="37" t="str">
        <f>IF(B6="","",VLOOKUP(B6,ORÇAMENTO!$B$7:C398,2,0))</f>
        <v>INSTALAÇÕES PROVISÓRIAS</v>
      </c>
      <c r="D6" s="37" t="s">
        <v>182</v>
      </c>
      <c r="E6" s="37" t="str">
        <f>IF(D6="","",VLOOKUP(D6,ORÇAMENTO!$B$7:$E$70,2,0))</f>
        <v>Tapumes / cercas</v>
      </c>
      <c r="F6" s="62"/>
      <c r="G6" s="62"/>
      <c r="H6" s="58">
        <v>1</v>
      </c>
      <c r="I6" s="40">
        <v>130</v>
      </c>
      <c r="J6" s="40">
        <v>1</v>
      </c>
      <c r="K6" s="41">
        <v>2.5</v>
      </c>
      <c r="L6" s="42">
        <f t="shared" ref="L6:L45" si="0">H6*I6*J6*K6</f>
        <v>325</v>
      </c>
    </row>
    <row r="7" spans="1:12" x14ac:dyDescent="0.2">
      <c r="B7" s="36" t="s">
        <v>3</v>
      </c>
      <c r="C7" s="37" t="str">
        <f>IF(B7="","",VLOOKUP(B7,ORÇAMENTO!$B$7:C399,2,0))</f>
        <v>INSTALAÇÕES PROVISÓRIAS</v>
      </c>
      <c r="D7" s="37" t="s">
        <v>186</v>
      </c>
      <c r="E7" s="37" t="str">
        <f>IF(D7="","",VLOOKUP(D7,ORÇAMENTO!$B$7:$E$70,2,0))</f>
        <v>Locação da obra (gabarito)</v>
      </c>
      <c r="F7" s="62"/>
      <c r="G7" s="62"/>
      <c r="H7" s="58">
        <v>1</v>
      </c>
      <c r="I7" s="40">
        <v>1</v>
      </c>
      <c r="J7" s="40">
        <v>1</v>
      </c>
      <c r="K7" s="41">
        <v>370</v>
      </c>
      <c r="L7" s="42">
        <f t="shared" si="0"/>
        <v>370</v>
      </c>
    </row>
    <row r="8" spans="1:12" x14ac:dyDescent="0.2">
      <c r="B8" s="45" t="s">
        <v>8</v>
      </c>
      <c r="C8" s="46" t="str">
        <f>IF(B8="","",VLOOKUP(B8,ORÇAMENTO!$B$7:C392,2,0))</f>
        <v>MOVIMENTO DE TERRA</v>
      </c>
      <c r="D8" s="46" t="s">
        <v>193</v>
      </c>
      <c r="E8" s="46" t="str">
        <f>IF(D8="","",VLOOKUP(D8,ORÇAMENTO!$B$7:$E$70,2,0))</f>
        <v>Limpeza do terreno</v>
      </c>
      <c r="F8" s="59"/>
      <c r="G8" s="59"/>
      <c r="H8" s="47">
        <v>1</v>
      </c>
      <c r="I8" s="48">
        <v>1</v>
      </c>
      <c r="J8" s="48">
        <v>1</v>
      </c>
      <c r="K8" s="49">
        <v>378</v>
      </c>
      <c r="L8" s="53">
        <f t="shared" si="0"/>
        <v>378</v>
      </c>
    </row>
    <row r="9" spans="1:12" x14ac:dyDescent="0.2">
      <c r="B9" s="45" t="s">
        <v>8</v>
      </c>
      <c r="C9" s="46" t="str">
        <f>IF(B9="","",VLOOKUP(B9,ORÇAMENTO!$B$7:C393,2,0))</f>
        <v>MOVIMENTO DE TERRA</v>
      </c>
      <c r="D9" s="46" t="s">
        <v>207</v>
      </c>
      <c r="E9" s="46" t="str">
        <f>IF(D9="","",VLOOKUP(D9,ORÇAMENTO!$B$7:$E$70,2,0))</f>
        <v>Escavações manuais</v>
      </c>
      <c r="F9" s="59"/>
      <c r="G9" s="59"/>
      <c r="H9" s="47">
        <v>1</v>
      </c>
      <c r="I9" s="48">
        <v>1</v>
      </c>
      <c r="J9" s="48">
        <v>1</v>
      </c>
      <c r="K9" s="49">
        <f>28.77+5</f>
        <v>33.769999999999996</v>
      </c>
      <c r="L9" s="50">
        <f t="shared" si="0"/>
        <v>33.769999999999996</v>
      </c>
    </row>
    <row r="10" spans="1:12" x14ac:dyDescent="0.2">
      <c r="B10" s="67" t="s">
        <v>8</v>
      </c>
      <c r="C10" s="68" t="str">
        <f>IF(B10="","",VLOOKUP(B10,ORÇAMENTO!$B$7:C394,2,0))</f>
        <v>MOVIMENTO DE TERRA</v>
      </c>
      <c r="D10" s="68" t="s">
        <v>208</v>
      </c>
      <c r="E10" s="68" t="str">
        <f>IF(D10="","",VLOOKUP(D10,ORÇAMENTO!$B$7:$E$70,2,0))</f>
        <v>Compactação do solo</v>
      </c>
      <c r="F10" s="74"/>
      <c r="G10" s="74"/>
      <c r="H10" s="69">
        <v>1</v>
      </c>
      <c r="I10" s="70">
        <v>1</v>
      </c>
      <c r="J10" s="70">
        <v>1</v>
      </c>
      <c r="K10" s="71">
        <v>100</v>
      </c>
      <c r="L10" s="75">
        <f t="shared" si="0"/>
        <v>100</v>
      </c>
    </row>
    <row r="11" spans="1:12" s="2" customFormat="1" ht="11.25" x14ac:dyDescent="0.2">
      <c r="B11" s="36" t="s">
        <v>9</v>
      </c>
      <c r="C11" s="37" t="str">
        <f>IF(B11="","",VLOOKUP(B11,ORÇAMENTO!$B$7:C75,2,0))</f>
        <v>FUNDAÇÃO</v>
      </c>
      <c r="D11" s="37" t="s">
        <v>101</v>
      </c>
      <c r="E11" s="37" t="str">
        <f>IF(D11="","",VLOOKUP(D11,ORÇAMENTO!$B$7:$E$70,2,0))</f>
        <v>Concreto 30 MPA</v>
      </c>
      <c r="F11" s="37" t="s">
        <v>11</v>
      </c>
      <c r="G11" s="37" t="s">
        <v>257</v>
      </c>
      <c r="H11" s="58">
        <v>30</v>
      </c>
      <c r="I11" s="40">
        <v>1</v>
      </c>
      <c r="J11" s="40">
        <v>1.37</v>
      </c>
      <c r="K11" s="41">
        <v>0.7</v>
      </c>
      <c r="L11" s="76">
        <f t="shared" si="0"/>
        <v>28.77</v>
      </c>
    </row>
    <row r="12" spans="1:12" s="2" customFormat="1" ht="11.25" x14ac:dyDescent="0.2">
      <c r="B12" s="36" t="s">
        <v>9</v>
      </c>
      <c r="C12" s="37" t="str">
        <f>IF(B12="","",VLOOKUP(B12,ORÇAMENTO!$B$7:C88,2,0))</f>
        <v>FUNDAÇÃO</v>
      </c>
      <c r="D12" s="37" t="s">
        <v>102</v>
      </c>
      <c r="E12" s="37" t="str">
        <f>IF(D12="","",VLOOKUP(D12,ORÇAMENTO!$B$7:$E$70,2,0))</f>
        <v>Forma</v>
      </c>
      <c r="F12" s="37" t="s">
        <v>11</v>
      </c>
      <c r="G12" s="37" t="s">
        <v>36</v>
      </c>
      <c r="H12" s="38">
        <v>2.8</v>
      </c>
      <c r="I12" s="39">
        <f>L11</f>
        <v>28.77</v>
      </c>
      <c r="J12" s="40">
        <v>1</v>
      </c>
      <c r="K12" s="41">
        <v>1</v>
      </c>
      <c r="L12" s="42">
        <f t="shared" si="0"/>
        <v>80.555999999999997</v>
      </c>
    </row>
    <row r="13" spans="1:12" s="2" customFormat="1" ht="11.25" x14ac:dyDescent="0.2">
      <c r="B13" s="36" t="s">
        <v>9</v>
      </c>
      <c r="C13" s="37" t="str">
        <f>IF(B13="","",VLOOKUP(B13,ORÇAMENTO!$B$7:C87,2,0))</f>
        <v>FUNDAÇÃO</v>
      </c>
      <c r="D13" s="37" t="s">
        <v>103</v>
      </c>
      <c r="E13" s="37" t="str">
        <f>IF(D13="","",VLOOKUP(D13,ORÇAMENTO!$B$7:$E$70,2,0))</f>
        <v>Armação (com corte e dobra)</v>
      </c>
      <c r="F13" s="37" t="s">
        <v>11</v>
      </c>
      <c r="G13" s="37" t="s">
        <v>36</v>
      </c>
      <c r="H13" s="43">
        <v>100</v>
      </c>
      <c r="I13" s="39">
        <f>L11</f>
        <v>28.77</v>
      </c>
      <c r="J13" s="40">
        <v>1</v>
      </c>
      <c r="K13" s="41">
        <v>1</v>
      </c>
      <c r="L13" s="44">
        <f t="shared" si="0"/>
        <v>2877</v>
      </c>
    </row>
    <row r="14" spans="1:12" s="2" customFormat="1" ht="11.25" x14ac:dyDescent="0.2">
      <c r="B14" s="45" t="s">
        <v>10</v>
      </c>
      <c r="C14" s="46" t="str">
        <f>IF(B14="","",VLOOKUP(B14,ORÇAMENTO!$B$7:C70,2,0))</f>
        <v>ESTRUTURA</v>
      </c>
      <c r="D14" s="46" t="s">
        <v>104</v>
      </c>
      <c r="E14" s="46" t="str">
        <f>IF(D14="","",VLOOKUP(D14,ORÇAMENTO!$B$7:$E$70,2,0))</f>
        <v>Concreto 30 MPA</v>
      </c>
      <c r="F14" s="46" t="s">
        <v>31</v>
      </c>
      <c r="G14" s="46" t="s">
        <v>32</v>
      </c>
      <c r="H14" s="47">
        <v>2</v>
      </c>
      <c r="I14" s="48">
        <v>0.8</v>
      </c>
      <c r="J14" s="48">
        <v>0.25</v>
      </c>
      <c r="K14" s="49">
        <v>2.8</v>
      </c>
      <c r="L14" s="50">
        <f t="shared" si="0"/>
        <v>1.1199999999999999</v>
      </c>
    </row>
    <row r="15" spans="1:12" s="2" customFormat="1" ht="11.25" x14ac:dyDescent="0.2">
      <c r="B15" s="45" t="s">
        <v>10</v>
      </c>
      <c r="C15" s="46" t="str">
        <f>IF(B15="","",VLOOKUP(B15,ORÇAMENTO!$B$7:C71,2,0))</f>
        <v>ESTRUTURA</v>
      </c>
      <c r="D15" s="46" t="s">
        <v>104</v>
      </c>
      <c r="E15" s="46" t="str">
        <f>IF(D15="","",VLOOKUP(D15,ORÇAMENTO!$B$7:$E$70,2,0))</f>
        <v>Concreto 30 MPA</v>
      </c>
      <c r="F15" s="46" t="s">
        <v>31</v>
      </c>
      <c r="G15" s="46" t="s">
        <v>32</v>
      </c>
      <c r="H15" s="47">
        <v>7</v>
      </c>
      <c r="I15" s="48">
        <v>0.6</v>
      </c>
      <c r="J15" s="48">
        <v>0.25</v>
      </c>
      <c r="K15" s="49">
        <v>2.8</v>
      </c>
      <c r="L15" s="50">
        <f t="shared" si="0"/>
        <v>2.94</v>
      </c>
    </row>
    <row r="16" spans="1:12" s="2" customFormat="1" ht="11.25" x14ac:dyDescent="0.2">
      <c r="B16" s="45" t="s">
        <v>10</v>
      </c>
      <c r="C16" s="46" t="str">
        <f>IF(B16="","",VLOOKUP(B16,ORÇAMENTO!$B$7:C72,2,0))</f>
        <v>ESTRUTURA</v>
      </c>
      <c r="D16" s="46" t="s">
        <v>104</v>
      </c>
      <c r="E16" s="46" t="str">
        <f>IF(D16="","",VLOOKUP(D16,ORÇAMENTO!$B$7:$E$70,2,0))</f>
        <v>Concreto 30 MPA</v>
      </c>
      <c r="F16" s="46" t="s">
        <v>31</v>
      </c>
      <c r="G16" s="46" t="s">
        <v>32</v>
      </c>
      <c r="H16" s="47">
        <v>2</v>
      </c>
      <c r="I16" s="48">
        <v>0.2</v>
      </c>
      <c r="J16" s="48">
        <v>1.83</v>
      </c>
      <c r="K16" s="49">
        <v>2.8</v>
      </c>
      <c r="L16" s="50">
        <f t="shared" si="0"/>
        <v>2.0496000000000003</v>
      </c>
    </row>
    <row r="17" spans="2:12" s="2" customFormat="1" ht="11.25" x14ac:dyDescent="0.2">
      <c r="B17" s="45" t="s">
        <v>10</v>
      </c>
      <c r="C17" s="46" t="str">
        <f>IF(B17="","",VLOOKUP(B17,ORÇAMENTO!$B$7:C73,2,0))</f>
        <v>ESTRUTURA</v>
      </c>
      <c r="D17" s="46" t="s">
        <v>104</v>
      </c>
      <c r="E17" s="46" t="str">
        <f>IF(D17="","",VLOOKUP(D17,ORÇAMENTO!$B$7:$E$70,2,0))</f>
        <v>Concreto 30 MPA</v>
      </c>
      <c r="F17" s="46" t="s">
        <v>31</v>
      </c>
      <c r="G17" s="46" t="s">
        <v>32</v>
      </c>
      <c r="H17" s="47">
        <v>1</v>
      </c>
      <c r="I17" s="48">
        <v>0.2</v>
      </c>
      <c r="J17" s="48">
        <v>0.7</v>
      </c>
      <c r="K17" s="49">
        <v>2.8</v>
      </c>
      <c r="L17" s="50">
        <f t="shared" si="0"/>
        <v>0.39199999999999996</v>
      </c>
    </row>
    <row r="18" spans="2:12" s="2" customFormat="1" ht="11.25" x14ac:dyDescent="0.2">
      <c r="B18" s="45" t="s">
        <v>10</v>
      </c>
      <c r="C18" s="46" t="str">
        <f>IF(B18="","",VLOOKUP(B18,ORÇAMENTO!$B$7:C74,2,0))</f>
        <v>ESTRUTURA</v>
      </c>
      <c r="D18" s="46" t="s">
        <v>104</v>
      </c>
      <c r="E18" s="46" t="str">
        <f>IF(D18="","",VLOOKUP(D18,ORÇAMENTO!$B$7:$E$70,2,0))</f>
        <v>Concreto 30 MPA</v>
      </c>
      <c r="F18" s="46" t="s">
        <v>31</v>
      </c>
      <c r="G18" s="46" t="s">
        <v>32</v>
      </c>
      <c r="H18" s="47">
        <v>1</v>
      </c>
      <c r="I18" s="48">
        <v>0.5</v>
      </c>
      <c r="J18" s="48">
        <v>0.25</v>
      </c>
      <c r="K18" s="49">
        <v>2.8</v>
      </c>
      <c r="L18" s="50">
        <f t="shared" si="0"/>
        <v>0.35</v>
      </c>
    </row>
    <row r="19" spans="2:12" s="2" customFormat="1" ht="11.25" x14ac:dyDescent="0.2">
      <c r="B19" s="45" t="s">
        <v>10</v>
      </c>
      <c r="C19" s="46" t="str">
        <f>IF(B19="","",VLOOKUP(B19,ORÇAMENTO!$B$7:C75,2,0))</f>
        <v>ESTRUTURA</v>
      </c>
      <c r="D19" s="46" t="s">
        <v>104</v>
      </c>
      <c r="E19" s="46" t="str">
        <f>IF(D19="","",VLOOKUP(D19,ORÇAMENTO!$B$7:$E$70,2,0))</f>
        <v>Concreto 30 MPA</v>
      </c>
      <c r="F19" s="46" t="s">
        <v>31</v>
      </c>
      <c r="G19" s="46" t="s">
        <v>32</v>
      </c>
      <c r="H19" s="47">
        <v>1</v>
      </c>
      <c r="I19" s="48">
        <v>0.3</v>
      </c>
      <c r="J19" s="48">
        <v>0.2</v>
      </c>
      <c r="K19" s="49">
        <v>2.8</v>
      </c>
      <c r="L19" s="50">
        <f t="shared" si="0"/>
        <v>0.16799999999999998</v>
      </c>
    </row>
    <row r="20" spans="2:12" s="2" customFormat="1" ht="11.25" x14ac:dyDescent="0.2">
      <c r="B20" s="45" t="s">
        <v>10</v>
      </c>
      <c r="C20" s="46" t="str">
        <f>IF(B20="","",VLOOKUP(B20,ORÇAMENTO!$B$7:C76,2,0))</f>
        <v>ESTRUTURA</v>
      </c>
      <c r="D20" s="46" t="s">
        <v>104</v>
      </c>
      <c r="E20" s="46" t="str">
        <f>IF(D20="","",VLOOKUP(D20,ORÇAMENTO!$B$7:$E$70,2,0))</f>
        <v>Concreto 30 MPA</v>
      </c>
      <c r="F20" s="46" t="s">
        <v>31</v>
      </c>
      <c r="G20" s="46" t="s">
        <v>32</v>
      </c>
      <c r="H20" s="47">
        <v>2</v>
      </c>
      <c r="I20" s="48">
        <v>0.3</v>
      </c>
      <c r="J20" s="48">
        <v>0.25</v>
      </c>
      <c r="K20" s="49">
        <v>2.8</v>
      </c>
      <c r="L20" s="50">
        <f t="shared" si="0"/>
        <v>0.42</v>
      </c>
    </row>
    <row r="21" spans="2:12" s="2" customFormat="1" ht="11.25" x14ac:dyDescent="0.2">
      <c r="B21" s="45" t="s">
        <v>10</v>
      </c>
      <c r="C21" s="46" t="str">
        <f>IF(B21="","",VLOOKUP(B21,ORÇAMENTO!$B$7:C77,2,0))</f>
        <v>ESTRUTURA</v>
      </c>
      <c r="D21" s="46" t="s">
        <v>104</v>
      </c>
      <c r="E21" s="46" t="str">
        <f>IF(D21="","",VLOOKUP(D21,ORÇAMENTO!$B$7:$E$70,2,0))</f>
        <v>Concreto 30 MPA</v>
      </c>
      <c r="F21" s="46" t="s">
        <v>31</v>
      </c>
      <c r="G21" s="46" t="s">
        <v>32</v>
      </c>
      <c r="H21" s="47">
        <v>1</v>
      </c>
      <c r="I21" s="48">
        <v>0.2</v>
      </c>
      <c r="J21" s="48">
        <v>0.2</v>
      </c>
      <c r="K21" s="49">
        <v>2.8</v>
      </c>
      <c r="L21" s="50">
        <f t="shared" si="0"/>
        <v>0.11200000000000002</v>
      </c>
    </row>
    <row r="22" spans="2:12" s="2" customFormat="1" ht="11.25" x14ac:dyDescent="0.2">
      <c r="B22" s="45" t="s">
        <v>10</v>
      </c>
      <c r="C22" s="46" t="str">
        <f>IF(B22="","",VLOOKUP(B22,ORÇAMENTO!$B$7:C73,2,0))</f>
        <v>ESTRUTURA</v>
      </c>
      <c r="D22" s="46" t="s">
        <v>104</v>
      </c>
      <c r="E22" s="46" t="str">
        <f>IF(D22="","",VLOOKUP(D22,ORÇAMENTO!$B$7:$E$70,2,0))</f>
        <v>Concreto 30 MPA</v>
      </c>
      <c r="F22" s="46" t="s">
        <v>31</v>
      </c>
      <c r="G22" s="46" t="s">
        <v>32</v>
      </c>
      <c r="H22" s="47">
        <v>1</v>
      </c>
      <c r="I22" s="48">
        <v>0.2</v>
      </c>
      <c r="J22" s="48">
        <v>0.14000000000000001</v>
      </c>
      <c r="K22" s="49">
        <v>2.8</v>
      </c>
      <c r="L22" s="50">
        <f t="shared" si="0"/>
        <v>7.8400000000000011E-2</v>
      </c>
    </row>
    <row r="23" spans="2:12" s="2" customFormat="1" ht="11.25" x14ac:dyDescent="0.2">
      <c r="B23" s="45" t="s">
        <v>10</v>
      </c>
      <c r="C23" s="46" t="str">
        <f>IF(B23="","",VLOOKUP(B23,ORÇAMENTO!$B$7:C74,2,0))</f>
        <v>ESTRUTURA</v>
      </c>
      <c r="D23" s="46" t="s">
        <v>104</v>
      </c>
      <c r="E23" s="46" t="str">
        <f>IF(D23="","",VLOOKUP(D23,ORÇAMENTO!$B$7:$E$70,2,0))</f>
        <v>Concreto 30 MPA</v>
      </c>
      <c r="F23" s="46" t="s">
        <v>31</v>
      </c>
      <c r="G23" s="46" t="s">
        <v>239</v>
      </c>
      <c r="H23" s="47">
        <v>2</v>
      </c>
      <c r="I23" s="48">
        <v>0.3</v>
      </c>
      <c r="J23" s="48">
        <v>0.4</v>
      </c>
      <c r="K23" s="49">
        <v>9.4499999999999993</v>
      </c>
      <c r="L23" s="50">
        <f t="shared" si="0"/>
        <v>2.2679999999999998</v>
      </c>
    </row>
    <row r="24" spans="2:12" s="2" customFormat="1" ht="11.25" x14ac:dyDescent="0.2">
      <c r="B24" s="45" t="s">
        <v>10</v>
      </c>
      <c r="C24" s="46" t="str">
        <f>IF(B24="","",VLOOKUP(B24,ORÇAMENTO!$B$7:C75,2,0))</f>
        <v>ESTRUTURA</v>
      </c>
      <c r="D24" s="46" t="s">
        <v>104</v>
      </c>
      <c r="E24" s="46" t="str">
        <f>IF(D24="","",VLOOKUP(D24,ORÇAMENTO!$B$7:$E$70,2,0))</f>
        <v>Concreto 30 MPA</v>
      </c>
      <c r="F24" s="46" t="s">
        <v>31</v>
      </c>
      <c r="G24" s="46" t="s">
        <v>239</v>
      </c>
      <c r="H24" s="47">
        <v>1</v>
      </c>
      <c r="I24" s="48">
        <v>0.3</v>
      </c>
      <c r="J24" s="48">
        <v>0.4</v>
      </c>
      <c r="K24" s="49">
        <v>7.4</v>
      </c>
      <c r="L24" s="50">
        <f t="shared" si="0"/>
        <v>0.88800000000000001</v>
      </c>
    </row>
    <row r="25" spans="2:12" s="2" customFormat="1" ht="11.25" x14ac:dyDescent="0.2">
      <c r="B25" s="45" t="s">
        <v>10</v>
      </c>
      <c r="C25" s="46" t="str">
        <f>IF(B25="","",VLOOKUP(B25,ORÇAMENTO!$B$7:C76,2,0))</f>
        <v>ESTRUTURA</v>
      </c>
      <c r="D25" s="46" t="s">
        <v>104</v>
      </c>
      <c r="E25" s="46" t="str">
        <f>IF(D25="","",VLOOKUP(D25,ORÇAMENTO!$B$7:$E$70,2,0))</f>
        <v>Concreto 30 MPA</v>
      </c>
      <c r="F25" s="46" t="s">
        <v>31</v>
      </c>
      <c r="G25" s="46" t="s">
        <v>239</v>
      </c>
      <c r="H25" s="47">
        <v>1</v>
      </c>
      <c r="I25" s="48">
        <v>0.2</v>
      </c>
      <c r="J25" s="48">
        <v>0.4</v>
      </c>
      <c r="K25" s="49">
        <v>4.75</v>
      </c>
      <c r="L25" s="50">
        <f t="shared" si="0"/>
        <v>0.38000000000000006</v>
      </c>
    </row>
    <row r="26" spans="2:12" s="2" customFormat="1" ht="11.25" x14ac:dyDescent="0.2">
      <c r="B26" s="45" t="s">
        <v>10</v>
      </c>
      <c r="C26" s="46" t="str">
        <f>IF(B26="","",VLOOKUP(B26,ORÇAMENTO!$B$7:C77,2,0))</f>
        <v>ESTRUTURA</v>
      </c>
      <c r="D26" s="46" t="s">
        <v>104</v>
      </c>
      <c r="E26" s="46" t="str">
        <f>IF(D26="","",VLOOKUP(D26,ORÇAMENTO!$B$7:$E$70,2,0))</f>
        <v>Concreto 30 MPA</v>
      </c>
      <c r="F26" s="46" t="s">
        <v>31</v>
      </c>
      <c r="G26" s="46" t="s">
        <v>239</v>
      </c>
      <c r="H26" s="47">
        <v>1</v>
      </c>
      <c r="I26" s="48">
        <v>0.2</v>
      </c>
      <c r="J26" s="48">
        <v>0.4</v>
      </c>
      <c r="K26" s="49">
        <v>6.75</v>
      </c>
      <c r="L26" s="50">
        <f t="shared" si="0"/>
        <v>0.54000000000000015</v>
      </c>
    </row>
    <row r="27" spans="2:12" s="2" customFormat="1" ht="11.25" x14ac:dyDescent="0.2">
      <c r="B27" s="45" t="s">
        <v>10</v>
      </c>
      <c r="C27" s="46" t="str">
        <f>IF(B27="","",VLOOKUP(B27,ORÇAMENTO!$B$7:C78,2,0))</f>
        <v>ESTRUTURA</v>
      </c>
      <c r="D27" s="46" t="s">
        <v>104</v>
      </c>
      <c r="E27" s="46" t="str">
        <f>IF(D27="","",VLOOKUP(D27,ORÇAMENTO!$B$7:$E$70,2,0))</f>
        <v>Concreto 30 MPA</v>
      </c>
      <c r="F27" s="46" t="s">
        <v>31</v>
      </c>
      <c r="G27" s="46" t="s">
        <v>239</v>
      </c>
      <c r="H27" s="47">
        <v>1</v>
      </c>
      <c r="I27" s="48">
        <v>0.14000000000000001</v>
      </c>
      <c r="J27" s="48">
        <v>0.4</v>
      </c>
      <c r="K27" s="49">
        <v>7.4</v>
      </c>
      <c r="L27" s="50">
        <f t="shared" si="0"/>
        <v>0.4144000000000001</v>
      </c>
    </row>
    <row r="28" spans="2:12" s="2" customFormat="1" ht="11.25" x14ac:dyDescent="0.2">
      <c r="B28" s="45" t="s">
        <v>10</v>
      </c>
      <c r="C28" s="46" t="str">
        <f>IF(B28="","",VLOOKUP(B28,ORÇAMENTO!$B$7:C78,2,0))</f>
        <v>ESTRUTURA</v>
      </c>
      <c r="D28" s="46" t="s">
        <v>104</v>
      </c>
      <c r="E28" s="46" t="str">
        <f>IF(D28="","",VLOOKUP(D28,ORÇAMENTO!$B$7:$E$70,2,0))</f>
        <v>Concreto 30 MPA</v>
      </c>
      <c r="F28" s="46" t="s">
        <v>31</v>
      </c>
      <c r="G28" s="46" t="s">
        <v>239</v>
      </c>
      <c r="H28" s="47">
        <v>2</v>
      </c>
      <c r="I28" s="48">
        <v>0.2</v>
      </c>
      <c r="J28" s="48">
        <v>0.4</v>
      </c>
      <c r="K28" s="49">
        <v>7.95</v>
      </c>
      <c r="L28" s="50">
        <f t="shared" si="0"/>
        <v>1.2720000000000002</v>
      </c>
    </row>
    <row r="29" spans="2:12" s="2" customFormat="1" ht="11.25" x14ac:dyDescent="0.2">
      <c r="B29" s="45" t="s">
        <v>10</v>
      </c>
      <c r="C29" s="46" t="str">
        <f>IF(B29="","",VLOOKUP(B29,ORÇAMENTO!$B$7:C79,2,0))</f>
        <v>ESTRUTURA</v>
      </c>
      <c r="D29" s="46" t="s">
        <v>104</v>
      </c>
      <c r="E29" s="46" t="str">
        <f>IF(D29="","",VLOOKUP(D29,ORÇAMENTO!$B$7:$E$70,2,0))</f>
        <v>Concreto 30 MPA</v>
      </c>
      <c r="F29" s="46" t="s">
        <v>31</v>
      </c>
      <c r="G29" s="46" t="s">
        <v>239</v>
      </c>
      <c r="H29" s="47">
        <v>1</v>
      </c>
      <c r="I29" s="48">
        <v>0.25</v>
      </c>
      <c r="J29" s="48">
        <v>0.4</v>
      </c>
      <c r="K29" s="49">
        <v>12.8</v>
      </c>
      <c r="L29" s="50">
        <f t="shared" si="0"/>
        <v>1.2800000000000002</v>
      </c>
    </row>
    <row r="30" spans="2:12" s="2" customFormat="1" ht="11.25" x14ac:dyDescent="0.2">
      <c r="B30" s="45" t="s">
        <v>10</v>
      </c>
      <c r="C30" s="46" t="str">
        <f>IF(B30="","",VLOOKUP(B30,ORÇAMENTO!$B$7:C80,2,0))</f>
        <v>ESTRUTURA</v>
      </c>
      <c r="D30" s="46" t="s">
        <v>104</v>
      </c>
      <c r="E30" s="46" t="str">
        <f>IF(D30="","",VLOOKUP(D30,ORÇAMENTO!$B$7:$E$70,2,0))</f>
        <v>Concreto 30 MPA</v>
      </c>
      <c r="F30" s="46" t="s">
        <v>31</v>
      </c>
      <c r="G30" s="46" t="s">
        <v>239</v>
      </c>
      <c r="H30" s="47">
        <v>1</v>
      </c>
      <c r="I30" s="48">
        <v>0.14000000000000001</v>
      </c>
      <c r="J30" s="48">
        <v>0.4</v>
      </c>
      <c r="K30" s="49">
        <v>12.2</v>
      </c>
      <c r="L30" s="50">
        <f t="shared" si="0"/>
        <v>0.68320000000000003</v>
      </c>
    </row>
    <row r="31" spans="2:12" s="2" customFormat="1" ht="11.25" x14ac:dyDescent="0.2">
      <c r="B31" s="45" t="s">
        <v>10</v>
      </c>
      <c r="C31" s="46" t="str">
        <f>IF(B31="","",VLOOKUP(B31,ORÇAMENTO!$B$7:C81,2,0))</f>
        <v>ESTRUTURA</v>
      </c>
      <c r="D31" s="46" t="s">
        <v>104</v>
      </c>
      <c r="E31" s="46" t="str">
        <f>IF(D31="","",VLOOKUP(D31,ORÇAMENTO!$B$7:$E$70,2,0))</f>
        <v>Concreto 30 MPA</v>
      </c>
      <c r="F31" s="46" t="s">
        <v>31</v>
      </c>
      <c r="G31" s="46" t="s">
        <v>239</v>
      </c>
      <c r="H31" s="47">
        <v>1</v>
      </c>
      <c r="I31" s="48">
        <v>0.14000000000000001</v>
      </c>
      <c r="J31" s="48">
        <v>0.4</v>
      </c>
      <c r="K31" s="49">
        <v>2.15</v>
      </c>
      <c r="L31" s="50">
        <f t="shared" si="0"/>
        <v>0.12040000000000001</v>
      </c>
    </row>
    <row r="32" spans="2:12" s="2" customFormat="1" ht="11.25" x14ac:dyDescent="0.2">
      <c r="B32" s="45" t="s">
        <v>10</v>
      </c>
      <c r="C32" s="46" t="str">
        <f>IF(B32="","",VLOOKUP(B32,ORÇAMENTO!$B$7:C82,2,0))</f>
        <v>ESTRUTURA</v>
      </c>
      <c r="D32" s="46" t="s">
        <v>104</v>
      </c>
      <c r="E32" s="46" t="str">
        <f>IF(D32="","",VLOOKUP(D32,ORÇAMENTO!$B$7:$E$70,2,0))</f>
        <v>Concreto 30 MPA</v>
      </c>
      <c r="F32" s="46" t="s">
        <v>31</v>
      </c>
      <c r="G32" s="46" t="s">
        <v>239</v>
      </c>
      <c r="H32" s="47">
        <v>1</v>
      </c>
      <c r="I32" s="48">
        <v>0.14000000000000001</v>
      </c>
      <c r="J32" s="48">
        <v>0.4</v>
      </c>
      <c r="K32" s="49">
        <v>4.6500000000000004</v>
      </c>
      <c r="L32" s="50">
        <f t="shared" si="0"/>
        <v>0.26040000000000008</v>
      </c>
    </row>
    <row r="33" spans="2:12" s="2" customFormat="1" ht="11.25" x14ac:dyDescent="0.2">
      <c r="B33" s="45" t="s">
        <v>10</v>
      </c>
      <c r="C33" s="46" t="str">
        <f>IF(B33="","",VLOOKUP(B33,ORÇAMENTO!$B$7:C83,2,0))</f>
        <v>ESTRUTURA</v>
      </c>
      <c r="D33" s="46" t="s">
        <v>104</v>
      </c>
      <c r="E33" s="46" t="str">
        <f>IF(D33="","",VLOOKUP(D33,ORÇAMENTO!$B$7:$E$70,2,0))</f>
        <v>Concreto 30 MPA</v>
      </c>
      <c r="F33" s="46" t="s">
        <v>31</v>
      </c>
      <c r="G33" s="46" t="s">
        <v>239</v>
      </c>
      <c r="H33" s="47">
        <v>1</v>
      </c>
      <c r="I33" s="48">
        <v>0.14000000000000001</v>
      </c>
      <c r="J33" s="48">
        <v>0.4</v>
      </c>
      <c r="K33" s="49">
        <v>9.4</v>
      </c>
      <c r="L33" s="50">
        <f t="shared" si="0"/>
        <v>0.52640000000000009</v>
      </c>
    </row>
    <row r="34" spans="2:12" s="2" customFormat="1" ht="11.25" x14ac:dyDescent="0.2">
      <c r="B34" s="45" t="s">
        <v>10</v>
      </c>
      <c r="C34" s="46" t="str">
        <f>IF(B34="","",VLOOKUP(B34,ORÇAMENTO!$B$7:C84,2,0))</f>
        <v>ESTRUTURA</v>
      </c>
      <c r="D34" s="46" t="s">
        <v>104</v>
      </c>
      <c r="E34" s="46" t="str">
        <f>IF(D34="","",VLOOKUP(D34,ORÇAMENTO!$B$7:$E$70,2,0))</f>
        <v>Concreto 30 MPA</v>
      </c>
      <c r="F34" s="46" t="s">
        <v>31</v>
      </c>
      <c r="G34" s="46" t="s">
        <v>239</v>
      </c>
      <c r="H34" s="47">
        <v>1</v>
      </c>
      <c r="I34" s="48">
        <v>0.14000000000000001</v>
      </c>
      <c r="J34" s="48">
        <v>0.4</v>
      </c>
      <c r="K34" s="49">
        <v>4.6500000000000004</v>
      </c>
      <c r="L34" s="50">
        <f t="shared" si="0"/>
        <v>0.26040000000000008</v>
      </c>
    </row>
    <row r="35" spans="2:12" s="2" customFormat="1" ht="11.25" x14ac:dyDescent="0.2">
      <c r="B35" s="45" t="s">
        <v>10</v>
      </c>
      <c r="C35" s="46" t="str">
        <f>IF(B35="","",VLOOKUP(B35,ORÇAMENTO!$B$7:C85,2,0))</f>
        <v>ESTRUTURA</v>
      </c>
      <c r="D35" s="46" t="s">
        <v>104</v>
      </c>
      <c r="E35" s="46" t="str">
        <f>IF(D35="","",VLOOKUP(D35,ORÇAMENTO!$B$7:$E$70,2,0))</f>
        <v>Concreto 30 MPA</v>
      </c>
      <c r="F35" s="46" t="s">
        <v>31</v>
      </c>
      <c r="G35" s="46" t="s">
        <v>239</v>
      </c>
      <c r="H35" s="47">
        <v>1</v>
      </c>
      <c r="I35" s="48">
        <v>0.14000000000000001</v>
      </c>
      <c r="J35" s="48">
        <v>0.4</v>
      </c>
      <c r="K35" s="49">
        <v>2.0499999999999998</v>
      </c>
      <c r="L35" s="50">
        <f t="shared" si="0"/>
        <v>0.11480000000000001</v>
      </c>
    </row>
    <row r="36" spans="2:12" s="2" customFormat="1" ht="11.25" x14ac:dyDescent="0.2">
      <c r="B36" s="45" t="s">
        <v>10</v>
      </c>
      <c r="C36" s="46" t="str">
        <f>IF(B36="","",VLOOKUP(B36,ORÇAMENTO!$B$7:C86,2,0))</f>
        <v>ESTRUTURA</v>
      </c>
      <c r="D36" s="46" t="s">
        <v>104</v>
      </c>
      <c r="E36" s="46" t="str">
        <f>IF(D36="","",VLOOKUP(D36,ORÇAMENTO!$B$7:$E$70,2,0))</f>
        <v>Concreto 30 MPA</v>
      </c>
      <c r="F36" s="46" t="s">
        <v>31</v>
      </c>
      <c r="G36" s="46" t="s">
        <v>239</v>
      </c>
      <c r="H36" s="47">
        <v>1</v>
      </c>
      <c r="I36" s="48">
        <v>0.14000000000000001</v>
      </c>
      <c r="J36" s="48">
        <v>0.4</v>
      </c>
      <c r="K36" s="49">
        <v>24.3</v>
      </c>
      <c r="L36" s="50">
        <f t="shared" si="0"/>
        <v>1.3608000000000002</v>
      </c>
    </row>
    <row r="37" spans="2:12" s="2" customFormat="1" ht="11.25" x14ac:dyDescent="0.2">
      <c r="B37" s="45" t="s">
        <v>10</v>
      </c>
      <c r="C37" s="46" t="str">
        <f>IF(B37="","",VLOOKUP(B37,ORÇAMENTO!$B$7:C87,2,0))</f>
        <v>ESTRUTURA</v>
      </c>
      <c r="D37" s="46" t="s">
        <v>104</v>
      </c>
      <c r="E37" s="46" t="str">
        <f>IF(D37="","",VLOOKUP(D37,ORÇAMENTO!$B$7:$E$70,2,0))</f>
        <v>Concreto 30 MPA</v>
      </c>
      <c r="F37" s="46" t="s">
        <v>31</v>
      </c>
      <c r="G37" s="46" t="s">
        <v>239</v>
      </c>
      <c r="H37" s="47">
        <v>1</v>
      </c>
      <c r="I37" s="48">
        <v>0.14000000000000001</v>
      </c>
      <c r="J37" s="48">
        <v>0.4</v>
      </c>
      <c r="K37" s="49">
        <v>3.55</v>
      </c>
      <c r="L37" s="50">
        <f t="shared" si="0"/>
        <v>0.19880000000000003</v>
      </c>
    </row>
    <row r="38" spans="2:12" s="2" customFormat="1" ht="11.25" x14ac:dyDescent="0.2">
      <c r="B38" s="45" t="s">
        <v>10</v>
      </c>
      <c r="C38" s="46" t="str">
        <f>IF(B38="","",VLOOKUP(B38,ORÇAMENTO!$B$7:C79,2,0))</f>
        <v>ESTRUTURA</v>
      </c>
      <c r="D38" s="46" t="s">
        <v>104</v>
      </c>
      <c r="E38" s="46" t="str">
        <f>IF(D38="","",VLOOKUP(D38,ORÇAMENTO!$B$7:$E$70,2,0))</f>
        <v>Concreto 30 MPA</v>
      </c>
      <c r="F38" s="46" t="s">
        <v>31</v>
      </c>
      <c r="G38" s="46" t="s">
        <v>240</v>
      </c>
      <c r="H38" s="47">
        <v>1</v>
      </c>
      <c r="I38" s="48">
        <v>0.15</v>
      </c>
      <c r="J38" s="48">
        <v>1</v>
      </c>
      <c r="K38" s="49">
        <v>311.38</v>
      </c>
      <c r="L38" s="50">
        <f t="shared" si="0"/>
        <v>46.707000000000001</v>
      </c>
    </row>
    <row r="39" spans="2:12" s="2" customFormat="1" ht="11.25" x14ac:dyDescent="0.2">
      <c r="B39" s="45" t="s">
        <v>10</v>
      </c>
      <c r="C39" s="46" t="str">
        <f>IF(B39="","",VLOOKUP(B39,ORÇAMENTO!$B$7:C73,2,0))</f>
        <v>ESTRUTURA</v>
      </c>
      <c r="D39" s="46" t="s">
        <v>104</v>
      </c>
      <c r="E39" s="46" t="str">
        <f>IF(D39="","",VLOOKUP(D39,ORÇAMENTO!$B$7:$E$70,2,0))</f>
        <v>Concreto 30 MPA</v>
      </c>
      <c r="F39" s="46" t="s">
        <v>28</v>
      </c>
      <c r="G39" s="46" t="s">
        <v>32</v>
      </c>
      <c r="H39" s="47">
        <v>2</v>
      </c>
      <c r="I39" s="48">
        <v>0.8</v>
      </c>
      <c r="J39" s="48">
        <v>0.25</v>
      </c>
      <c r="K39" s="49">
        <v>2.8</v>
      </c>
      <c r="L39" s="50">
        <f t="shared" si="0"/>
        <v>1.1199999999999999</v>
      </c>
    </row>
    <row r="40" spans="2:12" s="2" customFormat="1" ht="11.25" x14ac:dyDescent="0.2">
      <c r="B40" s="45" t="s">
        <v>10</v>
      </c>
      <c r="C40" s="46" t="str">
        <f>IF(B40="","",VLOOKUP(B40,ORÇAMENTO!$B$7:C74,2,0))</f>
        <v>ESTRUTURA</v>
      </c>
      <c r="D40" s="46" t="s">
        <v>104</v>
      </c>
      <c r="E40" s="46" t="str">
        <f>IF(D40="","",VLOOKUP(D40,ORÇAMENTO!$B$7:$E$70,2,0))</f>
        <v>Concreto 30 MPA</v>
      </c>
      <c r="F40" s="46" t="s">
        <v>28</v>
      </c>
      <c r="G40" s="46" t="s">
        <v>32</v>
      </c>
      <c r="H40" s="47">
        <v>7</v>
      </c>
      <c r="I40" s="48">
        <v>0.6</v>
      </c>
      <c r="J40" s="48">
        <v>0.25</v>
      </c>
      <c r="K40" s="49">
        <v>2.8</v>
      </c>
      <c r="L40" s="50">
        <f t="shared" si="0"/>
        <v>2.94</v>
      </c>
    </row>
    <row r="41" spans="2:12" s="2" customFormat="1" ht="11.25" x14ac:dyDescent="0.2">
      <c r="B41" s="45" t="s">
        <v>10</v>
      </c>
      <c r="C41" s="46" t="str">
        <f>IF(B41="","",VLOOKUP(B41,ORÇAMENTO!$B$7:C75,2,0))</f>
        <v>ESTRUTURA</v>
      </c>
      <c r="D41" s="46" t="s">
        <v>104</v>
      </c>
      <c r="E41" s="46" t="str">
        <f>IF(D41="","",VLOOKUP(D41,ORÇAMENTO!$B$7:$E$70,2,0))</f>
        <v>Concreto 30 MPA</v>
      </c>
      <c r="F41" s="46" t="s">
        <v>28</v>
      </c>
      <c r="G41" s="46" t="s">
        <v>32</v>
      </c>
      <c r="H41" s="47">
        <v>2</v>
      </c>
      <c r="I41" s="48">
        <v>0.2</v>
      </c>
      <c r="J41" s="48">
        <v>1.83</v>
      </c>
      <c r="K41" s="49">
        <v>2.8</v>
      </c>
      <c r="L41" s="50">
        <f t="shared" si="0"/>
        <v>2.0496000000000003</v>
      </c>
    </row>
    <row r="42" spans="2:12" s="2" customFormat="1" ht="11.25" x14ac:dyDescent="0.2">
      <c r="B42" s="45" t="s">
        <v>10</v>
      </c>
      <c r="C42" s="46" t="str">
        <f>IF(B42="","",VLOOKUP(B42,ORÇAMENTO!$B$7:C76,2,0))</f>
        <v>ESTRUTURA</v>
      </c>
      <c r="D42" s="46" t="s">
        <v>104</v>
      </c>
      <c r="E42" s="46" t="str">
        <f>IF(D42="","",VLOOKUP(D42,ORÇAMENTO!$B$7:$E$70,2,0))</f>
        <v>Concreto 30 MPA</v>
      </c>
      <c r="F42" s="46" t="s">
        <v>28</v>
      </c>
      <c r="G42" s="46" t="s">
        <v>32</v>
      </c>
      <c r="H42" s="47">
        <v>1</v>
      </c>
      <c r="I42" s="48">
        <v>0.2</v>
      </c>
      <c r="J42" s="48">
        <v>0.7</v>
      </c>
      <c r="K42" s="49">
        <v>2.8</v>
      </c>
      <c r="L42" s="50">
        <f t="shared" si="0"/>
        <v>0.39199999999999996</v>
      </c>
    </row>
    <row r="43" spans="2:12" s="2" customFormat="1" ht="11.25" x14ac:dyDescent="0.2">
      <c r="B43" s="45" t="s">
        <v>10</v>
      </c>
      <c r="C43" s="46" t="str">
        <f>IF(B43="","",VLOOKUP(B43,ORÇAMENTO!$B$7:C77,2,0))</f>
        <v>ESTRUTURA</v>
      </c>
      <c r="D43" s="46" t="s">
        <v>104</v>
      </c>
      <c r="E43" s="46" t="str">
        <f>IF(D43="","",VLOOKUP(D43,ORÇAMENTO!$B$7:$E$70,2,0))</f>
        <v>Concreto 30 MPA</v>
      </c>
      <c r="F43" s="46" t="s">
        <v>28</v>
      </c>
      <c r="G43" s="46" t="s">
        <v>32</v>
      </c>
      <c r="H43" s="47">
        <v>1</v>
      </c>
      <c r="I43" s="48">
        <v>0.5</v>
      </c>
      <c r="J43" s="48">
        <v>0.25</v>
      </c>
      <c r="K43" s="49">
        <v>2.8</v>
      </c>
      <c r="L43" s="50">
        <f t="shared" si="0"/>
        <v>0.35</v>
      </c>
    </row>
    <row r="44" spans="2:12" s="2" customFormat="1" ht="11.25" x14ac:dyDescent="0.2">
      <c r="B44" s="45" t="s">
        <v>10</v>
      </c>
      <c r="C44" s="46" t="str">
        <f>IF(B44="","",VLOOKUP(B44,ORÇAMENTO!$B$7:C78,2,0))</f>
        <v>ESTRUTURA</v>
      </c>
      <c r="D44" s="46" t="s">
        <v>104</v>
      </c>
      <c r="E44" s="46" t="str">
        <f>IF(D44="","",VLOOKUP(D44,ORÇAMENTO!$B$7:$E$70,2,0))</f>
        <v>Concreto 30 MPA</v>
      </c>
      <c r="F44" s="46" t="s">
        <v>28</v>
      </c>
      <c r="G44" s="46" t="s">
        <v>239</v>
      </c>
      <c r="H44" s="47">
        <v>1</v>
      </c>
      <c r="I44" s="48">
        <v>0.14000000000000001</v>
      </c>
      <c r="J44" s="48">
        <v>0.4</v>
      </c>
      <c r="K44" s="49">
        <v>160</v>
      </c>
      <c r="L44" s="50">
        <f t="shared" si="0"/>
        <v>8.9600000000000009</v>
      </c>
    </row>
    <row r="45" spans="2:12" s="2" customFormat="1" ht="11.25" x14ac:dyDescent="0.2">
      <c r="B45" s="45" t="s">
        <v>10</v>
      </c>
      <c r="C45" s="46" t="str">
        <f>IF(B45="","",VLOOKUP(B45,ORÇAMENTO!$B$7:C79,2,0))</f>
        <v>ESTRUTURA</v>
      </c>
      <c r="D45" s="46" t="s">
        <v>104</v>
      </c>
      <c r="E45" s="46" t="str">
        <f>IF(D45="","",VLOOKUP(D45,ORÇAMENTO!$B$7:$E$70,2,0))</f>
        <v>Concreto 30 MPA</v>
      </c>
      <c r="F45" s="46" t="s">
        <v>28</v>
      </c>
      <c r="G45" s="46" t="s">
        <v>240</v>
      </c>
      <c r="H45" s="47">
        <v>1</v>
      </c>
      <c r="I45" s="48">
        <v>0.15</v>
      </c>
      <c r="J45" s="48">
        <v>1</v>
      </c>
      <c r="K45" s="49">
        <v>182.24</v>
      </c>
      <c r="L45" s="50">
        <f t="shared" si="0"/>
        <v>27.336000000000002</v>
      </c>
    </row>
    <row r="46" spans="2:12" s="2" customFormat="1" ht="11.25" x14ac:dyDescent="0.2">
      <c r="B46" s="45" t="s">
        <v>10</v>
      </c>
      <c r="C46" s="46" t="str">
        <f>IF(B46="","",VLOOKUP(B46,ORÇAMENTO!$B$7:C75,2,0))</f>
        <v>ESTRUTURA</v>
      </c>
      <c r="D46" s="46" t="s">
        <v>104</v>
      </c>
      <c r="E46" s="46" t="str">
        <f>IF(D46="","",VLOOKUP(D46,ORÇAMENTO!$B$7:$E$70,2,0))</f>
        <v>Concreto 30 MPA</v>
      </c>
      <c r="F46" s="46" t="s">
        <v>29</v>
      </c>
      <c r="G46" s="46" t="s">
        <v>32</v>
      </c>
      <c r="H46" s="47">
        <v>2</v>
      </c>
      <c r="I46" s="48">
        <v>0.8</v>
      </c>
      <c r="J46" s="48">
        <v>0.25</v>
      </c>
      <c r="K46" s="49">
        <v>2.6</v>
      </c>
      <c r="L46" s="50">
        <f t="shared" ref="L46:L75" si="1">H46*I46*J46*K46*5</f>
        <v>5.2</v>
      </c>
    </row>
    <row r="47" spans="2:12" s="2" customFormat="1" ht="11.25" x14ac:dyDescent="0.2">
      <c r="B47" s="45" t="s">
        <v>10</v>
      </c>
      <c r="C47" s="46" t="str">
        <f>IF(B47="","",VLOOKUP(B47,ORÇAMENTO!$B$7:C76,2,0))</f>
        <v>ESTRUTURA</v>
      </c>
      <c r="D47" s="46" t="s">
        <v>104</v>
      </c>
      <c r="E47" s="46" t="str">
        <f>IF(D47="","",VLOOKUP(D47,ORÇAMENTO!$B$7:$E$70,2,0))</f>
        <v>Concreto 30 MPA</v>
      </c>
      <c r="F47" s="46" t="s">
        <v>29</v>
      </c>
      <c r="G47" s="46" t="s">
        <v>32</v>
      </c>
      <c r="H47" s="47">
        <v>7</v>
      </c>
      <c r="I47" s="48">
        <v>0.6</v>
      </c>
      <c r="J47" s="48">
        <v>0.25</v>
      </c>
      <c r="K47" s="49">
        <v>2.6</v>
      </c>
      <c r="L47" s="50">
        <f t="shared" si="1"/>
        <v>13.650000000000002</v>
      </c>
    </row>
    <row r="48" spans="2:12" s="2" customFormat="1" ht="11.25" x14ac:dyDescent="0.2">
      <c r="B48" s="45" t="s">
        <v>10</v>
      </c>
      <c r="C48" s="46" t="str">
        <f>IF(B48="","",VLOOKUP(B48,ORÇAMENTO!$B$7:C77,2,0))</f>
        <v>ESTRUTURA</v>
      </c>
      <c r="D48" s="46" t="s">
        <v>104</v>
      </c>
      <c r="E48" s="46" t="str">
        <f>IF(D48="","",VLOOKUP(D48,ORÇAMENTO!$B$7:$E$70,2,0))</f>
        <v>Concreto 30 MPA</v>
      </c>
      <c r="F48" s="46" t="s">
        <v>29</v>
      </c>
      <c r="G48" s="46" t="s">
        <v>32</v>
      </c>
      <c r="H48" s="47">
        <v>2</v>
      </c>
      <c r="I48" s="48">
        <v>0.2</v>
      </c>
      <c r="J48" s="48">
        <v>1.83</v>
      </c>
      <c r="K48" s="49">
        <v>2.6</v>
      </c>
      <c r="L48" s="50">
        <f t="shared" si="1"/>
        <v>9.5160000000000018</v>
      </c>
    </row>
    <row r="49" spans="2:12" s="2" customFormat="1" ht="11.25" x14ac:dyDescent="0.2">
      <c r="B49" s="45" t="s">
        <v>10</v>
      </c>
      <c r="C49" s="46" t="str">
        <f>IF(B49="","",VLOOKUP(B49,ORÇAMENTO!$B$7:C78,2,0))</f>
        <v>ESTRUTURA</v>
      </c>
      <c r="D49" s="46" t="s">
        <v>104</v>
      </c>
      <c r="E49" s="46" t="str">
        <f>IF(D49="","",VLOOKUP(D49,ORÇAMENTO!$B$7:$E$70,2,0))</f>
        <v>Concreto 30 MPA</v>
      </c>
      <c r="F49" s="46" t="s">
        <v>29</v>
      </c>
      <c r="G49" s="46" t="s">
        <v>32</v>
      </c>
      <c r="H49" s="47">
        <v>1</v>
      </c>
      <c r="I49" s="48">
        <v>0.2</v>
      </c>
      <c r="J49" s="48">
        <v>0.7</v>
      </c>
      <c r="K49" s="49">
        <v>2.6</v>
      </c>
      <c r="L49" s="50">
        <f t="shared" si="1"/>
        <v>1.8199999999999998</v>
      </c>
    </row>
    <row r="50" spans="2:12" s="2" customFormat="1" ht="11.25" x14ac:dyDescent="0.2">
      <c r="B50" s="45" t="s">
        <v>10</v>
      </c>
      <c r="C50" s="46" t="str">
        <f>IF(B50="","",VLOOKUP(B50,ORÇAMENTO!$B$7:C79,2,0))</f>
        <v>ESTRUTURA</v>
      </c>
      <c r="D50" s="46" t="s">
        <v>104</v>
      </c>
      <c r="E50" s="46" t="str">
        <f>IF(D50="","",VLOOKUP(D50,ORÇAMENTO!$B$7:$E$70,2,0))</f>
        <v>Concreto 30 MPA</v>
      </c>
      <c r="F50" s="46" t="s">
        <v>29</v>
      </c>
      <c r="G50" s="46" t="s">
        <v>32</v>
      </c>
      <c r="H50" s="47">
        <v>1</v>
      </c>
      <c r="I50" s="48">
        <v>0.5</v>
      </c>
      <c r="J50" s="48">
        <v>0.25</v>
      </c>
      <c r="K50" s="49">
        <v>2.6</v>
      </c>
      <c r="L50" s="50">
        <f t="shared" si="1"/>
        <v>1.625</v>
      </c>
    </row>
    <row r="51" spans="2:12" s="2" customFormat="1" ht="11.25" x14ac:dyDescent="0.2">
      <c r="B51" s="45" t="s">
        <v>10</v>
      </c>
      <c r="C51" s="46" t="str">
        <f>IF(B51="","",VLOOKUP(B51,ORÇAMENTO!$B$7:C84,2,0))</f>
        <v>ESTRUTURA</v>
      </c>
      <c r="D51" s="46" t="s">
        <v>104</v>
      </c>
      <c r="E51" s="46" t="str">
        <f>IF(D51="","",VLOOKUP(D51,ORÇAMENTO!$B$7:$E$70,2,0))</f>
        <v>Concreto 30 MPA</v>
      </c>
      <c r="F51" s="46" t="s">
        <v>29</v>
      </c>
      <c r="G51" s="46" t="s">
        <v>239</v>
      </c>
      <c r="H51" s="47">
        <v>2</v>
      </c>
      <c r="I51" s="48">
        <v>0.1</v>
      </c>
      <c r="J51" s="48">
        <v>0.4</v>
      </c>
      <c r="K51" s="49">
        <v>7.05</v>
      </c>
      <c r="L51" s="50">
        <f t="shared" si="1"/>
        <v>2.8200000000000003</v>
      </c>
    </row>
    <row r="52" spans="2:12" s="2" customFormat="1" ht="11.25" x14ac:dyDescent="0.2">
      <c r="B52" s="45" t="s">
        <v>10</v>
      </c>
      <c r="C52" s="46" t="str">
        <f>IF(B52="","",VLOOKUP(B52,ORÇAMENTO!$B$7:C85,2,0))</f>
        <v>ESTRUTURA</v>
      </c>
      <c r="D52" s="46" t="s">
        <v>104</v>
      </c>
      <c r="E52" s="46" t="str">
        <f>IF(D52="","",VLOOKUP(D52,ORÇAMENTO!$B$7:$E$70,2,0))</f>
        <v>Concreto 30 MPA</v>
      </c>
      <c r="F52" s="46" t="s">
        <v>29</v>
      </c>
      <c r="G52" s="46" t="s">
        <v>239</v>
      </c>
      <c r="H52" s="47">
        <v>4</v>
      </c>
      <c r="I52" s="48">
        <v>0.1</v>
      </c>
      <c r="J52" s="48">
        <v>0.4</v>
      </c>
      <c r="K52" s="49">
        <v>3</v>
      </c>
      <c r="L52" s="50">
        <f t="shared" si="1"/>
        <v>2.4000000000000004</v>
      </c>
    </row>
    <row r="53" spans="2:12" s="2" customFormat="1" ht="11.25" x14ac:dyDescent="0.2">
      <c r="B53" s="45" t="s">
        <v>10</v>
      </c>
      <c r="C53" s="46" t="str">
        <f>IF(B53="","",VLOOKUP(B53,ORÇAMENTO!$B$7:C86,2,0))</f>
        <v>ESTRUTURA</v>
      </c>
      <c r="D53" s="46" t="s">
        <v>104</v>
      </c>
      <c r="E53" s="46" t="str">
        <f>IF(D53="","",VLOOKUP(D53,ORÇAMENTO!$B$7:$E$70,2,0))</f>
        <v>Concreto 30 MPA</v>
      </c>
      <c r="F53" s="46" t="s">
        <v>29</v>
      </c>
      <c r="G53" s="46" t="s">
        <v>239</v>
      </c>
      <c r="H53" s="47">
        <v>3</v>
      </c>
      <c r="I53" s="48">
        <v>0.3</v>
      </c>
      <c r="J53" s="48">
        <v>0.4</v>
      </c>
      <c r="K53" s="49">
        <v>9.6199999999999992</v>
      </c>
      <c r="L53" s="50">
        <f t="shared" si="1"/>
        <v>17.315999999999999</v>
      </c>
    </row>
    <row r="54" spans="2:12" s="2" customFormat="1" ht="11.25" x14ac:dyDescent="0.2">
      <c r="B54" s="45" t="s">
        <v>10</v>
      </c>
      <c r="C54" s="46" t="str">
        <f>IF(B54="","",VLOOKUP(B54,ORÇAMENTO!$B$7:C87,2,0))</f>
        <v>ESTRUTURA</v>
      </c>
      <c r="D54" s="46" t="s">
        <v>104</v>
      </c>
      <c r="E54" s="46" t="str">
        <f>IF(D54="","",VLOOKUP(D54,ORÇAMENTO!$B$7:$E$70,2,0))</f>
        <v>Concreto 30 MPA</v>
      </c>
      <c r="F54" s="46" t="s">
        <v>29</v>
      </c>
      <c r="G54" s="46" t="s">
        <v>239</v>
      </c>
      <c r="H54" s="47">
        <v>2</v>
      </c>
      <c r="I54" s="48">
        <v>0.2</v>
      </c>
      <c r="J54" s="48">
        <v>0.4</v>
      </c>
      <c r="K54" s="49">
        <v>7.9</v>
      </c>
      <c r="L54" s="50">
        <f t="shared" si="1"/>
        <v>6.3200000000000012</v>
      </c>
    </row>
    <row r="55" spans="2:12" s="2" customFormat="1" ht="11.25" x14ac:dyDescent="0.2">
      <c r="B55" s="45" t="s">
        <v>10</v>
      </c>
      <c r="C55" s="46" t="str">
        <f>IF(B55="","",VLOOKUP(B55,ORÇAMENTO!$B$7:C90,2,0))</f>
        <v>ESTRUTURA</v>
      </c>
      <c r="D55" s="46" t="s">
        <v>104</v>
      </c>
      <c r="E55" s="46" t="str">
        <f>IF(D55="","",VLOOKUP(D55,ORÇAMENTO!$B$7:$E$70,2,0))</f>
        <v>Concreto 30 MPA</v>
      </c>
      <c r="F55" s="46" t="s">
        <v>29</v>
      </c>
      <c r="G55" s="46" t="s">
        <v>239</v>
      </c>
      <c r="H55" s="47">
        <v>2</v>
      </c>
      <c r="I55" s="48">
        <v>0.14000000000000001</v>
      </c>
      <c r="J55" s="48">
        <v>0.4</v>
      </c>
      <c r="K55" s="49">
        <v>2.6</v>
      </c>
      <c r="L55" s="50">
        <f t="shared" si="1"/>
        <v>1.4560000000000004</v>
      </c>
    </row>
    <row r="56" spans="2:12" s="2" customFormat="1" ht="11.25" x14ac:dyDescent="0.2">
      <c r="B56" s="45" t="s">
        <v>10</v>
      </c>
      <c r="C56" s="46" t="str">
        <f>IF(B56="","",VLOOKUP(B56,ORÇAMENTO!$B$7:C91,2,0))</f>
        <v>ESTRUTURA</v>
      </c>
      <c r="D56" s="46" t="s">
        <v>104</v>
      </c>
      <c r="E56" s="46" t="str">
        <f>IF(D56="","",VLOOKUP(D56,ORÇAMENTO!$B$7:$E$70,2,0))</f>
        <v>Concreto 30 MPA</v>
      </c>
      <c r="F56" s="46" t="s">
        <v>29</v>
      </c>
      <c r="G56" s="46" t="s">
        <v>239</v>
      </c>
      <c r="H56" s="47">
        <v>1</v>
      </c>
      <c r="I56" s="48">
        <v>0.2</v>
      </c>
      <c r="J56" s="48">
        <v>0.4</v>
      </c>
      <c r="K56" s="49">
        <v>6.82</v>
      </c>
      <c r="L56" s="50">
        <f t="shared" si="1"/>
        <v>2.7280000000000006</v>
      </c>
    </row>
    <row r="57" spans="2:12" s="2" customFormat="1" ht="11.25" x14ac:dyDescent="0.2">
      <c r="B57" s="45" t="s">
        <v>10</v>
      </c>
      <c r="C57" s="46" t="str">
        <f>IF(B57="","",VLOOKUP(B57,ORÇAMENTO!$B$7:C92,2,0))</f>
        <v>ESTRUTURA</v>
      </c>
      <c r="D57" s="46" t="s">
        <v>104</v>
      </c>
      <c r="E57" s="46" t="str">
        <f>IF(D57="","",VLOOKUP(D57,ORÇAMENTO!$B$7:$E$70,2,0))</f>
        <v>Concreto 30 MPA</v>
      </c>
      <c r="F57" s="46" t="s">
        <v>29</v>
      </c>
      <c r="G57" s="46" t="s">
        <v>239</v>
      </c>
      <c r="H57" s="47">
        <v>2</v>
      </c>
      <c r="I57" s="48">
        <v>0.14000000000000001</v>
      </c>
      <c r="J57" s="48">
        <v>0.4</v>
      </c>
      <c r="K57" s="49">
        <v>19.8</v>
      </c>
      <c r="L57" s="50">
        <f t="shared" si="1"/>
        <v>11.088000000000003</v>
      </c>
    </row>
    <row r="58" spans="2:12" s="2" customFormat="1" ht="11.25" x14ac:dyDescent="0.2">
      <c r="B58" s="45" t="s">
        <v>10</v>
      </c>
      <c r="C58" s="46" t="str">
        <f>IF(B58="","",VLOOKUP(B58,ORÇAMENTO!$B$7:C93,2,0))</f>
        <v>ESTRUTURA</v>
      </c>
      <c r="D58" s="46" t="s">
        <v>104</v>
      </c>
      <c r="E58" s="46" t="str">
        <f>IF(D58="","",VLOOKUP(D58,ORÇAMENTO!$B$7:$E$70,2,0))</f>
        <v>Concreto 30 MPA</v>
      </c>
      <c r="F58" s="46" t="s">
        <v>29</v>
      </c>
      <c r="G58" s="46" t="s">
        <v>239</v>
      </c>
      <c r="H58" s="47">
        <v>2</v>
      </c>
      <c r="I58" s="48">
        <v>0.14000000000000001</v>
      </c>
      <c r="J58" s="48">
        <v>0.4</v>
      </c>
      <c r="K58" s="49">
        <v>3.8</v>
      </c>
      <c r="L58" s="50">
        <f t="shared" si="1"/>
        <v>2.1280000000000001</v>
      </c>
    </row>
    <row r="59" spans="2:12" s="2" customFormat="1" ht="11.25" x14ac:dyDescent="0.2">
      <c r="B59" s="45" t="s">
        <v>10</v>
      </c>
      <c r="C59" s="46" t="str">
        <f>IF(B59="","",VLOOKUP(B59,ORÇAMENTO!$B$7:C94,2,0))</f>
        <v>ESTRUTURA</v>
      </c>
      <c r="D59" s="46" t="s">
        <v>104</v>
      </c>
      <c r="E59" s="46" t="str">
        <f>IF(D59="","",VLOOKUP(D59,ORÇAMENTO!$B$7:$E$70,2,0))</f>
        <v>Concreto 30 MPA</v>
      </c>
      <c r="F59" s="46" t="s">
        <v>29</v>
      </c>
      <c r="G59" s="46" t="s">
        <v>239</v>
      </c>
      <c r="H59" s="47">
        <v>1</v>
      </c>
      <c r="I59" s="48">
        <v>0.14000000000000001</v>
      </c>
      <c r="J59" s="48">
        <v>0.4</v>
      </c>
      <c r="K59" s="49">
        <v>5.95</v>
      </c>
      <c r="L59" s="50">
        <f t="shared" si="1"/>
        <v>1.6660000000000004</v>
      </c>
    </row>
    <row r="60" spans="2:12" s="2" customFormat="1" ht="11.25" x14ac:dyDescent="0.2">
      <c r="B60" s="45" t="s">
        <v>10</v>
      </c>
      <c r="C60" s="46" t="str">
        <f>IF(B60="","",VLOOKUP(B60,ORÇAMENTO!$B$7:C95,2,0))</f>
        <v>ESTRUTURA</v>
      </c>
      <c r="D60" s="46" t="s">
        <v>104</v>
      </c>
      <c r="E60" s="46" t="str">
        <f>IF(D60="","",VLOOKUP(D60,ORÇAMENTO!$B$7:$E$70,2,0))</f>
        <v>Concreto 30 MPA</v>
      </c>
      <c r="F60" s="46" t="s">
        <v>29</v>
      </c>
      <c r="G60" s="46" t="s">
        <v>240</v>
      </c>
      <c r="H60" s="47">
        <v>1</v>
      </c>
      <c r="I60" s="48">
        <v>0.15</v>
      </c>
      <c r="J60" s="48">
        <v>1</v>
      </c>
      <c r="K60" s="49">
        <v>212.5</v>
      </c>
      <c r="L60" s="50">
        <f t="shared" si="1"/>
        <v>159.375</v>
      </c>
    </row>
    <row r="61" spans="2:12" s="2" customFormat="1" ht="11.25" x14ac:dyDescent="0.2">
      <c r="B61" s="45" t="s">
        <v>10</v>
      </c>
      <c r="C61" s="46" t="str">
        <f>IF(B61="","",VLOOKUP(B61,ORÇAMENTO!$B$7:C78,2,0))</f>
        <v>ESTRUTURA</v>
      </c>
      <c r="D61" s="46" t="s">
        <v>104</v>
      </c>
      <c r="E61" s="46" t="str">
        <f>IF(D61="","",VLOOKUP(D61,ORÇAMENTO!$B$7:$E$70,2,0))</f>
        <v>Concreto 30 MPA</v>
      </c>
      <c r="F61" s="46" t="s">
        <v>34</v>
      </c>
      <c r="G61" s="46" t="s">
        <v>32</v>
      </c>
      <c r="H61" s="47">
        <v>2</v>
      </c>
      <c r="I61" s="48">
        <v>0.8</v>
      </c>
      <c r="J61" s="48">
        <v>0.25</v>
      </c>
      <c r="K61" s="49">
        <v>2.6</v>
      </c>
      <c r="L61" s="50">
        <f t="shared" si="1"/>
        <v>5.2</v>
      </c>
    </row>
    <row r="62" spans="2:12" s="2" customFormat="1" ht="11.25" x14ac:dyDescent="0.2">
      <c r="B62" s="45" t="s">
        <v>10</v>
      </c>
      <c r="C62" s="46" t="str">
        <f>IF(B62="","",VLOOKUP(B62,ORÇAMENTO!$B$7:C79,2,0))</f>
        <v>ESTRUTURA</v>
      </c>
      <c r="D62" s="46" t="s">
        <v>104</v>
      </c>
      <c r="E62" s="46" t="str">
        <f>IF(D62="","",VLOOKUP(D62,ORÇAMENTO!$B$7:$E$70,2,0))</f>
        <v>Concreto 30 MPA</v>
      </c>
      <c r="F62" s="46" t="s">
        <v>34</v>
      </c>
      <c r="G62" s="46" t="s">
        <v>32</v>
      </c>
      <c r="H62" s="47">
        <v>7</v>
      </c>
      <c r="I62" s="48">
        <v>0.6</v>
      </c>
      <c r="J62" s="48">
        <v>0.25</v>
      </c>
      <c r="K62" s="49">
        <v>2.6</v>
      </c>
      <c r="L62" s="50">
        <f t="shared" si="1"/>
        <v>13.650000000000002</v>
      </c>
    </row>
    <row r="63" spans="2:12" s="2" customFormat="1" ht="11.25" x14ac:dyDescent="0.2">
      <c r="B63" s="45" t="s">
        <v>10</v>
      </c>
      <c r="C63" s="46" t="str">
        <f>IF(B63="","",VLOOKUP(B63,ORÇAMENTO!$B$7:C80,2,0))</f>
        <v>ESTRUTURA</v>
      </c>
      <c r="D63" s="46" t="s">
        <v>104</v>
      </c>
      <c r="E63" s="46" t="str">
        <f>IF(D63="","",VLOOKUP(D63,ORÇAMENTO!$B$7:$E$70,2,0))</f>
        <v>Concreto 30 MPA</v>
      </c>
      <c r="F63" s="46" t="s">
        <v>34</v>
      </c>
      <c r="G63" s="46" t="s">
        <v>32</v>
      </c>
      <c r="H63" s="47">
        <v>2</v>
      </c>
      <c r="I63" s="48">
        <v>0.2</v>
      </c>
      <c r="J63" s="48">
        <v>1.83</v>
      </c>
      <c r="K63" s="49">
        <v>2.6</v>
      </c>
      <c r="L63" s="50">
        <f t="shared" si="1"/>
        <v>9.5160000000000018</v>
      </c>
    </row>
    <row r="64" spans="2:12" s="2" customFormat="1" ht="11.25" x14ac:dyDescent="0.2">
      <c r="B64" s="45" t="s">
        <v>10</v>
      </c>
      <c r="C64" s="46" t="str">
        <f>IF(B64="","",VLOOKUP(B64,ORÇAMENTO!$B$7:C81,2,0))</f>
        <v>ESTRUTURA</v>
      </c>
      <c r="D64" s="46" t="s">
        <v>104</v>
      </c>
      <c r="E64" s="46" t="str">
        <f>IF(D64="","",VLOOKUP(D64,ORÇAMENTO!$B$7:$E$70,2,0))</f>
        <v>Concreto 30 MPA</v>
      </c>
      <c r="F64" s="46" t="s">
        <v>34</v>
      </c>
      <c r="G64" s="46" t="s">
        <v>32</v>
      </c>
      <c r="H64" s="47">
        <v>1</v>
      </c>
      <c r="I64" s="48">
        <v>0.2</v>
      </c>
      <c r="J64" s="48">
        <v>0.7</v>
      </c>
      <c r="K64" s="49">
        <v>2.6</v>
      </c>
      <c r="L64" s="50">
        <f t="shared" si="1"/>
        <v>1.8199999999999998</v>
      </c>
    </row>
    <row r="65" spans="2:12" s="2" customFormat="1" ht="11.25" x14ac:dyDescent="0.2">
      <c r="B65" s="45" t="s">
        <v>10</v>
      </c>
      <c r="C65" s="46" t="str">
        <f>IF(B65="","",VLOOKUP(B65,ORÇAMENTO!$B$7:C82,2,0))</f>
        <v>ESTRUTURA</v>
      </c>
      <c r="D65" s="46" t="s">
        <v>104</v>
      </c>
      <c r="E65" s="46" t="str">
        <f>IF(D65="","",VLOOKUP(D65,ORÇAMENTO!$B$7:$E$70,2,0))</f>
        <v>Concreto 30 MPA</v>
      </c>
      <c r="F65" s="46" t="s">
        <v>34</v>
      </c>
      <c r="G65" s="46" t="s">
        <v>32</v>
      </c>
      <c r="H65" s="47">
        <v>1</v>
      </c>
      <c r="I65" s="48">
        <v>0.5</v>
      </c>
      <c r="J65" s="48">
        <v>0.25</v>
      </c>
      <c r="K65" s="49">
        <v>2.6</v>
      </c>
      <c r="L65" s="50">
        <f t="shared" si="1"/>
        <v>1.625</v>
      </c>
    </row>
    <row r="66" spans="2:12" s="2" customFormat="1" ht="11.25" x14ac:dyDescent="0.2">
      <c r="B66" s="45" t="s">
        <v>10</v>
      </c>
      <c r="C66" s="46" t="str">
        <f>IF(B66="","",VLOOKUP(B66,ORÇAMENTO!$B$7:C83,2,0))</f>
        <v>ESTRUTURA</v>
      </c>
      <c r="D66" s="46" t="s">
        <v>104</v>
      </c>
      <c r="E66" s="46" t="str">
        <f>IF(D66="","",VLOOKUP(D66,ORÇAMENTO!$B$7:$E$70,2,0))</f>
        <v>Concreto 30 MPA</v>
      </c>
      <c r="F66" s="46" t="s">
        <v>34</v>
      </c>
      <c r="G66" s="46" t="s">
        <v>239</v>
      </c>
      <c r="H66" s="47">
        <v>2</v>
      </c>
      <c r="I66" s="48">
        <v>0.1</v>
      </c>
      <c r="J66" s="48">
        <v>0.4</v>
      </c>
      <c r="K66" s="49">
        <v>7.05</v>
      </c>
      <c r="L66" s="50">
        <f t="shared" si="1"/>
        <v>2.8200000000000003</v>
      </c>
    </row>
    <row r="67" spans="2:12" s="2" customFormat="1" ht="11.25" x14ac:dyDescent="0.2">
      <c r="B67" s="45" t="s">
        <v>10</v>
      </c>
      <c r="C67" s="46" t="str">
        <f>IF(B67="","",VLOOKUP(B67,ORÇAMENTO!$B$7:C84,2,0))</f>
        <v>ESTRUTURA</v>
      </c>
      <c r="D67" s="46" t="s">
        <v>104</v>
      </c>
      <c r="E67" s="46" t="str">
        <f>IF(D67="","",VLOOKUP(D67,ORÇAMENTO!$B$7:$E$70,2,0))</f>
        <v>Concreto 30 MPA</v>
      </c>
      <c r="F67" s="46" t="s">
        <v>34</v>
      </c>
      <c r="G67" s="46" t="s">
        <v>239</v>
      </c>
      <c r="H67" s="47">
        <v>4</v>
      </c>
      <c r="I67" s="48">
        <v>0.1</v>
      </c>
      <c r="J67" s="48">
        <v>0.4</v>
      </c>
      <c r="K67" s="49">
        <v>3</v>
      </c>
      <c r="L67" s="50">
        <f t="shared" si="1"/>
        <v>2.4000000000000004</v>
      </c>
    </row>
    <row r="68" spans="2:12" s="2" customFormat="1" ht="11.25" x14ac:dyDescent="0.2">
      <c r="B68" s="45" t="s">
        <v>10</v>
      </c>
      <c r="C68" s="46" t="str">
        <f>IF(B68="","",VLOOKUP(B68,ORÇAMENTO!$B$7:C85,2,0))</f>
        <v>ESTRUTURA</v>
      </c>
      <c r="D68" s="46" t="s">
        <v>104</v>
      </c>
      <c r="E68" s="46" t="str">
        <f>IF(D68="","",VLOOKUP(D68,ORÇAMENTO!$B$7:$E$70,2,0))</f>
        <v>Concreto 30 MPA</v>
      </c>
      <c r="F68" s="46" t="s">
        <v>34</v>
      </c>
      <c r="G68" s="46" t="s">
        <v>239</v>
      </c>
      <c r="H68" s="47">
        <v>3</v>
      </c>
      <c r="I68" s="48">
        <v>0.3</v>
      </c>
      <c r="J68" s="48">
        <v>0.4</v>
      </c>
      <c r="K68" s="49">
        <v>9.6199999999999992</v>
      </c>
      <c r="L68" s="50">
        <f t="shared" si="1"/>
        <v>17.315999999999999</v>
      </c>
    </row>
    <row r="69" spans="2:12" s="2" customFormat="1" ht="11.25" x14ac:dyDescent="0.2">
      <c r="B69" s="45" t="s">
        <v>10</v>
      </c>
      <c r="C69" s="46" t="str">
        <f>IF(B69="","",VLOOKUP(B69,ORÇAMENTO!$B$7:C86,2,0))</f>
        <v>ESTRUTURA</v>
      </c>
      <c r="D69" s="46" t="s">
        <v>104</v>
      </c>
      <c r="E69" s="46" t="str">
        <f>IF(D69="","",VLOOKUP(D69,ORÇAMENTO!$B$7:$E$70,2,0))</f>
        <v>Concreto 30 MPA</v>
      </c>
      <c r="F69" s="46" t="s">
        <v>34</v>
      </c>
      <c r="G69" s="46" t="s">
        <v>239</v>
      </c>
      <c r="H69" s="47">
        <v>2</v>
      </c>
      <c r="I69" s="48">
        <v>0.2</v>
      </c>
      <c r="J69" s="48">
        <v>0.4</v>
      </c>
      <c r="K69" s="49">
        <v>7.9</v>
      </c>
      <c r="L69" s="50">
        <f t="shared" si="1"/>
        <v>6.3200000000000012</v>
      </c>
    </row>
    <row r="70" spans="2:12" s="2" customFormat="1" ht="11.25" x14ac:dyDescent="0.2">
      <c r="B70" s="45" t="s">
        <v>10</v>
      </c>
      <c r="C70" s="46" t="str">
        <f>IF(B70="","",VLOOKUP(B70,ORÇAMENTO!$B$7:C87,2,0))</f>
        <v>ESTRUTURA</v>
      </c>
      <c r="D70" s="46" t="s">
        <v>104</v>
      </c>
      <c r="E70" s="46" t="str">
        <f>IF(D70="","",VLOOKUP(D70,ORÇAMENTO!$B$7:$E$70,2,0))</f>
        <v>Concreto 30 MPA</v>
      </c>
      <c r="F70" s="46" t="s">
        <v>34</v>
      </c>
      <c r="G70" s="46" t="s">
        <v>239</v>
      </c>
      <c r="H70" s="47">
        <v>2</v>
      </c>
      <c r="I70" s="48">
        <v>0.14000000000000001</v>
      </c>
      <c r="J70" s="48">
        <v>0.4</v>
      </c>
      <c r="K70" s="49">
        <v>2.6</v>
      </c>
      <c r="L70" s="50">
        <f t="shared" si="1"/>
        <v>1.4560000000000004</v>
      </c>
    </row>
    <row r="71" spans="2:12" s="2" customFormat="1" ht="11.25" x14ac:dyDescent="0.2">
      <c r="B71" s="45" t="s">
        <v>10</v>
      </c>
      <c r="C71" s="46" t="str">
        <f>IF(B71="","",VLOOKUP(B71,ORÇAMENTO!$B$7:C88,2,0))</f>
        <v>ESTRUTURA</v>
      </c>
      <c r="D71" s="46" t="s">
        <v>104</v>
      </c>
      <c r="E71" s="46" t="str">
        <f>IF(D71="","",VLOOKUP(D71,ORÇAMENTO!$B$7:$E$70,2,0))</f>
        <v>Concreto 30 MPA</v>
      </c>
      <c r="F71" s="46" t="s">
        <v>34</v>
      </c>
      <c r="G71" s="46" t="s">
        <v>239</v>
      </c>
      <c r="H71" s="47">
        <v>1</v>
      </c>
      <c r="I71" s="48">
        <v>0.2</v>
      </c>
      <c r="J71" s="48">
        <v>0.4</v>
      </c>
      <c r="K71" s="49">
        <v>6.82</v>
      </c>
      <c r="L71" s="50">
        <f t="shared" si="1"/>
        <v>2.7280000000000006</v>
      </c>
    </row>
    <row r="72" spans="2:12" s="2" customFormat="1" ht="11.25" x14ac:dyDescent="0.2">
      <c r="B72" s="45" t="s">
        <v>10</v>
      </c>
      <c r="C72" s="46" t="str">
        <f>IF(B72="","",VLOOKUP(B72,ORÇAMENTO!$B$7:C89,2,0))</f>
        <v>ESTRUTURA</v>
      </c>
      <c r="D72" s="46" t="s">
        <v>104</v>
      </c>
      <c r="E72" s="46" t="str">
        <f>IF(D72="","",VLOOKUP(D72,ORÇAMENTO!$B$7:$E$70,2,0))</f>
        <v>Concreto 30 MPA</v>
      </c>
      <c r="F72" s="46" t="s">
        <v>34</v>
      </c>
      <c r="G72" s="46" t="s">
        <v>239</v>
      </c>
      <c r="H72" s="47">
        <v>2</v>
      </c>
      <c r="I72" s="48">
        <v>0.14000000000000001</v>
      </c>
      <c r="J72" s="48">
        <v>0.4</v>
      </c>
      <c r="K72" s="49">
        <v>19.8</v>
      </c>
      <c r="L72" s="50">
        <f t="shared" si="1"/>
        <v>11.088000000000003</v>
      </c>
    </row>
    <row r="73" spans="2:12" s="2" customFormat="1" ht="11.25" x14ac:dyDescent="0.2">
      <c r="B73" s="45" t="s">
        <v>10</v>
      </c>
      <c r="C73" s="46" t="str">
        <f>IF(B73="","",VLOOKUP(B73,ORÇAMENTO!$B$7:C90,2,0))</f>
        <v>ESTRUTURA</v>
      </c>
      <c r="D73" s="46" t="s">
        <v>104</v>
      </c>
      <c r="E73" s="46" t="str">
        <f>IF(D73="","",VLOOKUP(D73,ORÇAMENTO!$B$7:$E$70,2,0))</f>
        <v>Concreto 30 MPA</v>
      </c>
      <c r="F73" s="46" t="s">
        <v>34</v>
      </c>
      <c r="G73" s="46" t="s">
        <v>239</v>
      </c>
      <c r="H73" s="47">
        <v>2</v>
      </c>
      <c r="I73" s="48">
        <v>0.14000000000000001</v>
      </c>
      <c r="J73" s="48">
        <v>0.4</v>
      </c>
      <c r="K73" s="49">
        <v>3.8</v>
      </c>
      <c r="L73" s="50">
        <f t="shared" si="1"/>
        <v>2.1280000000000001</v>
      </c>
    </row>
    <row r="74" spans="2:12" s="2" customFormat="1" ht="11.25" x14ac:dyDescent="0.2">
      <c r="B74" s="45" t="s">
        <v>10</v>
      </c>
      <c r="C74" s="46" t="str">
        <f>IF(B74="","",VLOOKUP(B74,ORÇAMENTO!$B$7:C91,2,0))</f>
        <v>ESTRUTURA</v>
      </c>
      <c r="D74" s="46" t="s">
        <v>104</v>
      </c>
      <c r="E74" s="46" t="str">
        <f>IF(D74="","",VLOOKUP(D74,ORÇAMENTO!$B$7:$E$70,2,0))</f>
        <v>Concreto 30 MPA</v>
      </c>
      <c r="F74" s="46" t="s">
        <v>34</v>
      </c>
      <c r="G74" s="46" t="s">
        <v>239</v>
      </c>
      <c r="H74" s="47">
        <v>1</v>
      </c>
      <c r="I74" s="48">
        <v>0.14000000000000001</v>
      </c>
      <c r="J74" s="48">
        <v>0.4</v>
      </c>
      <c r="K74" s="49">
        <v>5.95</v>
      </c>
      <c r="L74" s="50">
        <f t="shared" si="1"/>
        <v>1.6660000000000004</v>
      </c>
    </row>
    <row r="75" spans="2:12" s="2" customFormat="1" ht="11.25" x14ac:dyDescent="0.2">
      <c r="B75" s="45" t="s">
        <v>10</v>
      </c>
      <c r="C75" s="46" t="str">
        <f>IF(B75="","",VLOOKUP(B75,ORÇAMENTO!$B$7:C92,2,0))</f>
        <v>ESTRUTURA</v>
      </c>
      <c r="D75" s="46" t="s">
        <v>104</v>
      </c>
      <c r="E75" s="46" t="str">
        <f>IF(D75="","",VLOOKUP(D75,ORÇAMENTO!$B$7:$E$70,2,0))</f>
        <v>Concreto 30 MPA</v>
      </c>
      <c r="F75" s="46" t="s">
        <v>34</v>
      </c>
      <c r="G75" s="46" t="s">
        <v>240</v>
      </c>
      <c r="H75" s="47">
        <v>1</v>
      </c>
      <c r="I75" s="48">
        <v>0.15</v>
      </c>
      <c r="J75" s="48">
        <v>1</v>
      </c>
      <c r="K75" s="49">
        <v>212.5</v>
      </c>
      <c r="L75" s="50">
        <f t="shared" si="1"/>
        <v>159.375</v>
      </c>
    </row>
    <row r="76" spans="2:12" s="2" customFormat="1" ht="11.25" x14ac:dyDescent="0.2">
      <c r="B76" s="45" t="s">
        <v>10</v>
      </c>
      <c r="C76" s="46" t="str">
        <f>IF(B76="","",VLOOKUP(B76,ORÇAMENTO!$B$7:C81,2,0))</f>
        <v>ESTRUTURA</v>
      </c>
      <c r="D76" s="46" t="s">
        <v>104</v>
      </c>
      <c r="E76" s="46" t="str">
        <f>IF(D76="","",VLOOKUP(D76,ORÇAMENTO!$B$7:$E$70,2,0))</f>
        <v>Concreto 30 MPA</v>
      </c>
      <c r="F76" s="46" t="s">
        <v>15</v>
      </c>
      <c r="G76" s="46" t="s">
        <v>32</v>
      </c>
      <c r="H76" s="47">
        <v>4</v>
      </c>
      <c r="I76" s="48">
        <v>0.6</v>
      </c>
      <c r="J76" s="48">
        <v>0.2</v>
      </c>
      <c r="K76" s="49">
        <v>2.6</v>
      </c>
      <c r="L76" s="50">
        <f t="shared" ref="L76:L90" si="2">K76*J76*I76*H76</f>
        <v>1.248</v>
      </c>
    </row>
    <row r="77" spans="2:12" s="2" customFormat="1" ht="11.25" x14ac:dyDescent="0.2">
      <c r="B77" s="45" t="s">
        <v>10</v>
      </c>
      <c r="C77" s="46" t="str">
        <f>IF(B77="","",VLOOKUP(B77,ORÇAMENTO!$B$7:C82,2,0))</f>
        <v>ESTRUTURA</v>
      </c>
      <c r="D77" s="46" t="s">
        <v>104</v>
      </c>
      <c r="E77" s="46" t="str">
        <f>IF(D77="","",VLOOKUP(D77,ORÇAMENTO!$B$7:$E$70,2,0))</f>
        <v>Concreto 30 MPA</v>
      </c>
      <c r="F77" s="46" t="s">
        <v>15</v>
      </c>
      <c r="G77" s="46" t="s">
        <v>32</v>
      </c>
      <c r="H77" s="47">
        <v>2</v>
      </c>
      <c r="I77" s="48">
        <v>0.2</v>
      </c>
      <c r="J77" s="48">
        <v>0.2</v>
      </c>
      <c r="K77" s="49">
        <v>2.6</v>
      </c>
      <c r="L77" s="50">
        <f t="shared" si="2"/>
        <v>0.20800000000000002</v>
      </c>
    </row>
    <row r="78" spans="2:12" s="2" customFormat="1" ht="11.25" x14ac:dyDescent="0.2">
      <c r="B78" s="45" t="s">
        <v>10</v>
      </c>
      <c r="C78" s="46" t="str">
        <f>IF(B78="","",VLOOKUP(B78,ORÇAMENTO!$B$7:C83,2,0))</f>
        <v>ESTRUTURA</v>
      </c>
      <c r="D78" s="46" t="s">
        <v>104</v>
      </c>
      <c r="E78" s="46" t="str">
        <f>IF(D78="","",VLOOKUP(D78,ORÇAMENTO!$B$7:$E$70,2,0))</f>
        <v>Concreto 30 MPA</v>
      </c>
      <c r="F78" s="46" t="s">
        <v>15</v>
      </c>
      <c r="G78" s="46" t="s">
        <v>32</v>
      </c>
      <c r="H78" s="47">
        <v>2</v>
      </c>
      <c r="I78" s="48">
        <v>0.5</v>
      </c>
      <c r="J78" s="48">
        <v>0.2</v>
      </c>
      <c r="K78" s="49">
        <v>2.6</v>
      </c>
      <c r="L78" s="50">
        <f t="shared" si="2"/>
        <v>0.52</v>
      </c>
    </row>
    <row r="79" spans="2:12" s="2" customFormat="1" ht="11.25" x14ac:dyDescent="0.2">
      <c r="B79" s="45" t="s">
        <v>10</v>
      </c>
      <c r="C79" s="46" t="str">
        <f>IF(B79="","",VLOOKUP(B79,ORÇAMENTO!$B$7:C84,2,0))</f>
        <v>ESTRUTURA</v>
      </c>
      <c r="D79" s="46" t="s">
        <v>104</v>
      </c>
      <c r="E79" s="46" t="str">
        <f>IF(D79="","",VLOOKUP(D79,ORÇAMENTO!$B$7:$E$70,2,0))</f>
        <v>Concreto 30 MPA</v>
      </c>
      <c r="F79" s="46" t="s">
        <v>15</v>
      </c>
      <c r="G79" s="46" t="s">
        <v>32</v>
      </c>
      <c r="H79" s="47">
        <v>1</v>
      </c>
      <c r="I79" s="48">
        <v>1.83</v>
      </c>
      <c r="J79" s="48">
        <v>0.2</v>
      </c>
      <c r="K79" s="49">
        <v>2.6</v>
      </c>
      <c r="L79" s="50">
        <f t="shared" si="2"/>
        <v>0.95160000000000011</v>
      </c>
    </row>
    <row r="80" spans="2:12" s="2" customFormat="1" ht="11.25" x14ac:dyDescent="0.2">
      <c r="B80" s="45" t="s">
        <v>10</v>
      </c>
      <c r="C80" s="46" t="str">
        <f>IF(B80="","",VLOOKUP(B80,ORÇAMENTO!$B$7:C85,2,0))</f>
        <v>ESTRUTURA</v>
      </c>
      <c r="D80" s="46" t="s">
        <v>104</v>
      </c>
      <c r="E80" s="46" t="str">
        <f>IF(D80="","",VLOOKUP(D80,ORÇAMENTO!$B$7:$E$70,2,0))</f>
        <v>Concreto 30 MPA</v>
      </c>
      <c r="F80" s="46" t="s">
        <v>15</v>
      </c>
      <c r="G80" s="46" t="s">
        <v>32</v>
      </c>
      <c r="H80" s="47">
        <v>1</v>
      </c>
      <c r="I80" s="48">
        <v>1.6</v>
      </c>
      <c r="J80" s="48">
        <v>0.2</v>
      </c>
      <c r="K80" s="49">
        <v>2.6</v>
      </c>
      <c r="L80" s="50">
        <f t="shared" si="2"/>
        <v>0.83200000000000007</v>
      </c>
    </row>
    <row r="81" spans="2:12" s="2" customFormat="1" ht="11.25" x14ac:dyDescent="0.2">
      <c r="B81" s="45" t="s">
        <v>10</v>
      </c>
      <c r="C81" s="46" t="str">
        <f>IF(B81="","",VLOOKUP(B81,ORÇAMENTO!$B$7:C86,2,0))</f>
        <v>ESTRUTURA</v>
      </c>
      <c r="D81" s="46" t="s">
        <v>104</v>
      </c>
      <c r="E81" s="46" t="str">
        <f>IF(D81="","",VLOOKUP(D81,ORÇAMENTO!$B$7:$E$70,2,0))</f>
        <v>Concreto 30 MPA</v>
      </c>
      <c r="F81" s="46" t="s">
        <v>15</v>
      </c>
      <c r="G81" s="46" t="s">
        <v>239</v>
      </c>
      <c r="H81" s="47">
        <v>1</v>
      </c>
      <c r="I81" s="48">
        <v>0.14000000000000001</v>
      </c>
      <c r="J81" s="48">
        <v>0.4</v>
      </c>
      <c r="K81" s="49">
        <v>7.12</v>
      </c>
      <c r="L81" s="50">
        <f t="shared" si="2"/>
        <v>0.39872000000000007</v>
      </c>
    </row>
    <row r="82" spans="2:12" s="2" customFormat="1" ht="11.25" x14ac:dyDescent="0.2">
      <c r="B82" s="45" t="s">
        <v>10</v>
      </c>
      <c r="C82" s="46" t="str">
        <f>IF(B82="","",VLOOKUP(B82,ORÇAMENTO!$B$7:C87,2,0))</f>
        <v>ESTRUTURA</v>
      </c>
      <c r="D82" s="46" t="s">
        <v>104</v>
      </c>
      <c r="E82" s="46" t="str">
        <f>IF(D82="","",VLOOKUP(D82,ORÇAMENTO!$B$7:$E$70,2,0))</f>
        <v>Concreto 30 MPA</v>
      </c>
      <c r="F82" s="46" t="s">
        <v>15</v>
      </c>
      <c r="G82" s="46" t="s">
        <v>239</v>
      </c>
      <c r="H82" s="47">
        <v>1</v>
      </c>
      <c r="I82" s="48">
        <v>0.14000000000000001</v>
      </c>
      <c r="J82" s="48">
        <v>0.4</v>
      </c>
      <c r="K82" s="49">
        <v>2.65</v>
      </c>
      <c r="L82" s="50">
        <f t="shared" si="2"/>
        <v>0.14840000000000003</v>
      </c>
    </row>
    <row r="83" spans="2:12" s="2" customFormat="1" ht="11.25" x14ac:dyDescent="0.2">
      <c r="B83" s="45" t="s">
        <v>10</v>
      </c>
      <c r="C83" s="46" t="str">
        <f>IF(B83="","",VLOOKUP(B83,ORÇAMENTO!$B$7:C88,2,0))</f>
        <v>ESTRUTURA</v>
      </c>
      <c r="D83" s="46" t="s">
        <v>104</v>
      </c>
      <c r="E83" s="46" t="str">
        <f>IF(D83="","",VLOOKUP(D83,ORÇAMENTO!$B$7:$E$70,2,0))</f>
        <v>Concreto 30 MPA</v>
      </c>
      <c r="F83" s="46" t="s">
        <v>15</v>
      </c>
      <c r="G83" s="46" t="s">
        <v>239</v>
      </c>
      <c r="H83" s="47">
        <v>1</v>
      </c>
      <c r="I83" s="48">
        <v>0.14000000000000001</v>
      </c>
      <c r="J83" s="48">
        <v>0.4</v>
      </c>
      <c r="K83" s="49">
        <v>3.95</v>
      </c>
      <c r="L83" s="50">
        <f t="shared" si="2"/>
        <v>0.22120000000000004</v>
      </c>
    </row>
    <row r="84" spans="2:12" s="2" customFormat="1" ht="11.25" x14ac:dyDescent="0.2">
      <c r="B84" s="45" t="s">
        <v>10</v>
      </c>
      <c r="C84" s="46" t="str">
        <f>IF(B84="","",VLOOKUP(B84,ORÇAMENTO!$B$7:C89,2,0))</f>
        <v>ESTRUTURA</v>
      </c>
      <c r="D84" s="46" t="s">
        <v>104</v>
      </c>
      <c r="E84" s="46" t="str">
        <f>IF(D84="","",VLOOKUP(D84,ORÇAMENTO!$B$7:$E$70,2,0))</f>
        <v>Concreto 30 MPA</v>
      </c>
      <c r="F84" s="46" t="s">
        <v>15</v>
      </c>
      <c r="G84" s="46" t="s">
        <v>239</v>
      </c>
      <c r="H84" s="47">
        <v>1</v>
      </c>
      <c r="I84" s="48">
        <v>0.14000000000000001</v>
      </c>
      <c r="J84" s="48">
        <v>0.4</v>
      </c>
      <c r="K84" s="49">
        <v>4.7300000000000004</v>
      </c>
      <c r="L84" s="50">
        <f t="shared" si="2"/>
        <v>0.26488000000000006</v>
      </c>
    </row>
    <row r="85" spans="2:12" s="2" customFormat="1" ht="11.25" x14ac:dyDescent="0.2">
      <c r="B85" s="45" t="s">
        <v>10</v>
      </c>
      <c r="C85" s="46" t="str">
        <f>IF(B85="","",VLOOKUP(B85,ORÇAMENTO!$B$7:C90,2,0))</f>
        <v>ESTRUTURA</v>
      </c>
      <c r="D85" s="46" t="s">
        <v>104</v>
      </c>
      <c r="E85" s="46" t="str">
        <f>IF(D85="","",VLOOKUP(D85,ORÇAMENTO!$B$7:$E$70,2,0))</f>
        <v>Concreto 30 MPA</v>
      </c>
      <c r="F85" s="46" t="s">
        <v>15</v>
      </c>
      <c r="G85" s="46" t="s">
        <v>241</v>
      </c>
      <c r="H85" s="47">
        <v>1</v>
      </c>
      <c r="I85" s="48">
        <v>0.14000000000000001</v>
      </c>
      <c r="J85" s="48">
        <v>2.8</v>
      </c>
      <c r="K85" s="49">
        <v>16.25</v>
      </c>
      <c r="L85" s="50">
        <f t="shared" si="2"/>
        <v>6.370000000000001</v>
      </c>
    </row>
    <row r="86" spans="2:12" s="2" customFormat="1" ht="11.25" x14ac:dyDescent="0.2">
      <c r="B86" s="45" t="s">
        <v>10</v>
      </c>
      <c r="C86" s="46" t="str">
        <f>IF(B86="","",VLOOKUP(B86,ORÇAMENTO!$B$7:C91,2,0))</f>
        <v>ESTRUTURA</v>
      </c>
      <c r="D86" s="46" t="s">
        <v>104</v>
      </c>
      <c r="E86" s="46" t="str">
        <f>IF(D86="","",VLOOKUP(D86,ORÇAMENTO!$B$7:$E$70,2,0))</f>
        <v>Concreto 30 MPA</v>
      </c>
      <c r="F86" s="46" t="s">
        <v>15</v>
      </c>
      <c r="G86" s="46" t="s">
        <v>240</v>
      </c>
      <c r="H86" s="47">
        <v>1</v>
      </c>
      <c r="I86" s="48">
        <v>0.15</v>
      </c>
      <c r="J86" s="48">
        <v>1</v>
      </c>
      <c r="K86" s="49">
        <v>217.94</v>
      </c>
      <c r="L86" s="50">
        <f t="shared" si="2"/>
        <v>32.690999999999995</v>
      </c>
    </row>
    <row r="87" spans="2:12" s="2" customFormat="1" ht="11.25" x14ac:dyDescent="0.2">
      <c r="B87" s="45" t="s">
        <v>10</v>
      </c>
      <c r="C87" s="46" t="str">
        <f>IF(B87="","",VLOOKUP(B87,ORÇAMENTO!$B$7:C92,2,0))</f>
        <v>ESTRUTURA</v>
      </c>
      <c r="D87" s="46" t="s">
        <v>104</v>
      </c>
      <c r="E87" s="46" t="str">
        <f>IF(D87="","",VLOOKUP(D87,ORÇAMENTO!$B$7:$E$70,2,0))</f>
        <v>Concreto 30 MPA</v>
      </c>
      <c r="F87" s="46" t="s">
        <v>15</v>
      </c>
      <c r="G87" s="46" t="s">
        <v>240</v>
      </c>
      <c r="H87" s="47">
        <v>1</v>
      </c>
      <c r="I87" s="48">
        <v>0.15</v>
      </c>
      <c r="J87" s="48">
        <v>1</v>
      </c>
      <c r="K87" s="49">
        <v>72.53</v>
      </c>
      <c r="L87" s="50">
        <f t="shared" si="2"/>
        <v>10.8795</v>
      </c>
    </row>
    <row r="88" spans="2:12" s="2" customFormat="1" ht="11.25" x14ac:dyDescent="0.2">
      <c r="B88" s="45" t="s">
        <v>10</v>
      </c>
      <c r="C88" s="46" t="str">
        <f>IF(B88="","",VLOOKUP(B88,ORÇAMENTO!$B$7:C84,2,0))</f>
        <v>ESTRUTURA</v>
      </c>
      <c r="D88" s="46" t="s">
        <v>104</v>
      </c>
      <c r="E88" s="46" t="str">
        <f>IF(D88="","",VLOOKUP(D88,ORÇAMENTO!$B$7:$E$70,2,0))</f>
        <v>Concreto 30 MPA</v>
      </c>
      <c r="F88" s="46" t="s">
        <v>30</v>
      </c>
      <c r="G88" s="46" t="s">
        <v>32</v>
      </c>
      <c r="H88" s="47">
        <v>1</v>
      </c>
      <c r="I88" s="48">
        <v>1</v>
      </c>
      <c r="J88" s="48">
        <v>2.16</v>
      </c>
      <c r="K88" s="49">
        <v>2.8</v>
      </c>
      <c r="L88" s="50">
        <f t="shared" si="2"/>
        <v>6.048</v>
      </c>
    </row>
    <row r="89" spans="2:12" s="2" customFormat="1" ht="11.25" x14ac:dyDescent="0.2">
      <c r="B89" s="45" t="s">
        <v>10</v>
      </c>
      <c r="C89" s="46" t="str">
        <f>IF(B89="","",VLOOKUP(B89,ORÇAMENTO!$B$7:C85,2,0))</f>
        <v>ESTRUTURA</v>
      </c>
      <c r="D89" s="46" t="s">
        <v>104</v>
      </c>
      <c r="E89" s="46" t="str">
        <f>IF(D89="","",VLOOKUP(D89,ORÇAMENTO!$B$7:$E$70,2,0))</f>
        <v>Concreto 30 MPA</v>
      </c>
      <c r="F89" s="46" t="s">
        <v>30</v>
      </c>
      <c r="G89" s="46" t="s">
        <v>32</v>
      </c>
      <c r="H89" s="47">
        <v>12</v>
      </c>
      <c r="I89" s="48">
        <v>0.2</v>
      </c>
      <c r="J89" s="48">
        <v>0.3</v>
      </c>
      <c r="K89" s="49">
        <v>2.8</v>
      </c>
      <c r="L89" s="50">
        <f t="shared" si="2"/>
        <v>2.016</v>
      </c>
    </row>
    <row r="90" spans="2:12" s="2" customFormat="1" ht="11.25" x14ac:dyDescent="0.2">
      <c r="B90" s="45" t="s">
        <v>10</v>
      </c>
      <c r="C90" s="46" t="str">
        <f>IF(B90="","",VLOOKUP(B90,ORÇAMENTO!$B$7:C86,2,0))</f>
        <v>ESTRUTURA</v>
      </c>
      <c r="D90" s="46" t="s">
        <v>104</v>
      </c>
      <c r="E90" s="46" t="str">
        <f>IF(D90="","",VLOOKUP(D90,ORÇAMENTO!$B$7:$E$70,2,0))</f>
        <v>Concreto 30 MPA</v>
      </c>
      <c r="F90" s="46" t="s">
        <v>30</v>
      </c>
      <c r="G90" s="46" t="s">
        <v>33</v>
      </c>
      <c r="H90" s="47">
        <v>1</v>
      </c>
      <c r="I90" s="48">
        <v>7.2</v>
      </c>
      <c r="J90" s="48">
        <v>7.23</v>
      </c>
      <c r="K90" s="49">
        <v>0.15</v>
      </c>
      <c r="L90" s="50">
        <f t="shared" si="2"/>
        <v>7.8084000000000007</v>
      </c>
    </row>
    <row r="91" spans="2:12" s="2" customFormat="1" ht="11.25" x14ac:dyDescent="0.2">
      <c r="B91" s="45" t="s">
        <v>10</v>
      </c>
      <c r="C91" s="46" t="str">
        <f>IF(B91="","",VLOOKUP(B91,ORÇAMENTO!$B$7:C87,2,0))</f>
        <v>ESTRUTURA</v>
      </c>
      <c r="D91" s="46" t="s">
        <v>104</v>
      </c>
      <c r="E91" s="46" t="str">
        <f>IF(D91="","",VLOOKUP(D91,ORÇAMENTO!$B$7:$E$70,2,0))</f>
        <v>Concreto 30 MPA</v>
      </c>
      <c r="F91" s="46" t="s">
        <v>232</v>
      </c>
      <c r="G91" s="46" t="s">
        <v>233</v>
      </c>
      <c r="H91" s="47">
        <v>1</v>
      </c>
      <c r="I91" s="48">
        <v>1</v>
      </c>
      <c r="J91" s="48">
        <v>270.77999999999997</v>
      </c>
      <c r="K91" s="49">
        <v>0.15</v>
      </c>
      <c r="L91" s="50">
        <f t="shared" ref="L91:L96" si="3">K91*J91*H91*I91</f>
        <v>40.616999999999997</v>
      </c>
    </row>
    <row r="92" spans="2:12" s="2" customFormat="1" ht="11.25" x14ac:dyDescent="0.2">
      <c r="B92" s="45" t="s">
        <v>10</v>
      </c>
      <c r="C92" s="46" t="str">
        <f>IF(B92="","",VLOOKUP(B92,ORÇAMENTO!$B$7:C88,2,0))</f>
        <v>ESTRUTURA</v>
      </c>
      <c r="D92" s="46" t="s">
        <v>104</v>
      </c>
      <c r="E92" s="46" t="str">
        <f>IF(D92="","",VLOOKUP(D92,ORÇAMENTO!$B$7:$E$70,2,0))</f>
        <v>Concreto 30 MPA</v>
      </c>
      <c r="F92" s="46" t="s">
        <v>232</v>
      </c>
      <c r="G92" s="46" t="s">
        <v>239</v>
      </c>
      <c r="H92" s="47">
        <v>2</v>
      </c>
      <c r="I92" s="48">
        <v>9.4499999999999993</v>
      </c>
      <c r="J92" s="48">
        <v>0.3</v>
      </c>
      <c r="K92" s="49">
        <v>0.4</v>
      </c>
      <c r="L92" s="50">
        <f t="shared" si="3"/>
        <v>2.2679999999999998</v>
      </c>
    </row>
    <row r="93" spans="2:12" s="2" customFormat="1" ht="11.25" x14ac:dyDescent="0.2">
      <c r="B93" s="45" t="s">
        <v>10</v>
      </c>
      <c r="C93" s="46" t="str">
        <f>IF(B93="","",VLOOKUP(B93,ORÇAMENTO!$B$7:C89,2,0))</f>
        <v>ESTRUTURA</v>
      </c>
      <c r="D93" s="46" t="s">
        <v>104</v>
      </c>
      <c r="E93" s="46" t="str">
        <f>IF(D93="","",VLOOKUP(D93,ORÇAMENTO!$B$7:$E$70,2,0))</f>
        <v>Concreto 30 MPA</v>
      </c>
      <c r="F93" s="46" t="s">
        <v>232</v>
      </c>
      <c r="G93" s="46" t="s">
        <v>239</v>
      </c>
      <c r="H93" s="47">
        <v>1</v>
      </c>
      <c r="I93" s="48">
        <v>9.4499999999999993</v>
      </c>
      <c r="J93" s="48">
        <v>0.3</v>
      </c>
      <c r="K93" s="49">
        <v>0.4</v>
      </c>
      <c r="L93" s="50">
        <f t="shared" si="3"/>
        <v>1.1339999999999999</v>
      </c>
    </row>
    <row r="94" spans="2:12" s="2" customFormat="1" ht="11.25" x14ac:dyDescent="0.2">
      <c r="B94" s="45" t="s">
        <v>10</v>
      </c>
      <c r="C94" s="46" t="str">
        <f>IF(B94="","",VLOOKUP(B94,ORÇAMENTO!$B$7:C90,2,0))</f>
        <v>ESTRUTURA</v>
      </c>
      <c r="D94" s="46" t="s">
        <v>104</v>
      </c>
      <c r="E94" s="46" t="str">
        <f>IF(D94="","",VLOOKUP(D94,ORÇAMENTO!$B$7:$E$70,2,0))</f>
        <v>Concreto 30 MPA</v>
      </c>
      <c r="F94" s="46" t="s">
        <v>232</v>
      </c>
      <c r="G94" s="46" t="s">
        <v>239</v>
      </c>
      <c r="H94" s="47">
        <v>1</v>
      </c>
      <c r="I94" s="48">
        <v>7.05</v>
      </c>
      <c r="J94" s="48">
        <v>0.3</v>
      </c>
      <c r="K94" s="49">
        <v>0.4</v>
      </c>
      <c r="L94" s="50">
        <f t="shared" si="3"/>
        <v>0.84599999999999997</v>
      </c>
    </row>
    <row r="95" spans="2:12" s="2" customFormat="1" ht="11.25" x14ac:dyDescent="0.2">
      <c r="B95" s="45" t="s">
        <v>10</v>
      </c>
      <c r="C95" s="46" t="str">
        <f>IF(B95="","",VLOOKUP(B95,ORÇAMENTO!$B$7:C91,2,0))</f>
        <v>ESTRUTURA</v>
      </c>
      <c r="D95" s="46" t="s">
        <v>104</v>
      </c>
      <c r="E95" s="46" t="str">
        <f>IF(D95="","",VLOOKUP(D95,ORÇAMENTO!$B$7:$E$70,2,0))</f>
        <v>Concreto 30 MPA</v>
      </c>
      <c r="F95" s="46" t="s">
        <v>232</v>
      </c>
      <c r="G95" s="46" t="s">
        <v>239</v>
      </c>
      <c r="H95" s="47">
        <v>1</v>
      </c>
      <c r="I95" s="48">
        <v>5.4</v>
      </c>
      <c r="J95" s="48">
        <v>0.2</v>
      </c>
      <c r="K95" s="49">
        <v>0.4</v>
      </c>
      <c r="L95" s="50">
        <f t="shared" si="3"/>
        <v>0.43200000000000011</v>
      </c>
    </row>
    <row r="96" spans="2:12" s="2" customFormat="1" ht="11.25" x14ac:dyDescent="0.2">
      <c r="B96" s="45" t="s">
        <v>10</v>
      </c>
      <c r="C96" s="46" t="str">
        <f>IF(B96="","",VLOOKUP(B96,ORÇAMENTO!$B$7:C92,2,0))</f>
        <v>ESTRUTURA</v>
      </c>
      <c r="D96" s="46" t="s">
        <v>104</v>
      </c>
      <c r="E96" s="46" t="str">
        <f>IF(D96="","",VLOOKUP(D96,ORÇAMENTO!$B$7:$E$70,2,0))</f>
        <v>Concreto 30 MPA</v>
      </c>
      <c r="F96" s="46" t="s">
        <v>232</v>
      </c>
      <c r="G96" s="46" t="s">
        <v>239</v>
      </c>
      <c r="H96" s="47">
        <v>2</v>
      </c>
      <c r="I96" s="48">
        <v>5.15</v>
      </c>
      <c r="J96" s="48">
        <v>0.2</v>
      </c>
      <c r="K96" s="49">
        <v>0.4</v>
      </c>
      <c r="L96" s="50">
        <f t="shared" si="3"/>
        <v>0.82400000000000018</v>
      </c>
    </row>
    <row r="97" spans="2:12" s="2" customFormat="1" ht="11.25" x14ac:dyDescent="0.2">
      <c r="B97" s="45" t="s">
        <v>10</v>
      </c>
      <c r="C97" s="46" t="str">
        <f>IF(B97="","",VLOOKUP(B97,ORÇAMENTO!$B$7:C88,2,0))</f>
        <v>ESTRUTURA</v>
      </c>
      <c r="D97" s="46" t="s">
        <v>104</v>
      </c>
      <c r="E97" s="46" t="str">
        <f>IF(D97="","",VLOOKUP(D97,ORÇAMENTO!$B$7:$E$70,2,0))</f>
        <v>Concreto 30 MPA</v>
      </c>
      <c r="F97" s="46" t="s">
        <v>232</v>
      </c>
      <c r="G97" s="46" t="s">
        <v>238</v>
      </c>
      <c r="H97" s="47">
        <v>1</v>
      </c>
      <c r="I97" s="48">
        <v>1</v>
      </c>
      <c r="J97" s="48">
        <v>311.38</v>
      </c>
      <c r="K97" s="49">
        <v>0.15</v>
      </c>
      <c r="L97" s="50">
        <f>K97*J97*H97</f>
        <v>46.707000000000001</v>
      </c>
    </row>
    <row r="98" spans="2:12" s="2" customFormat="1" ht="11.25" x14ac:dyDescent="0.2">
      <c r="B98" s="45" t="s">
        <v>10</v>
      </c>
      <c r="C98" s="46" t="str">
        <f>IF(B98="","",VLOOKUP(B98,ORÇAMENTO!$B$7:C88,2,0))</f>
        <v>ESTRUTURA</v>
      </c>
      <c r="D98" s="46" t="s">
        <v>104</v>
      </c>
      <c r="E98" s="46" t="str">
        <f>IF(D98="","",VLOOKUP(D98,ORÇAMENTO!$B$7:$E$70,2,0))</f>
        <v>Concreto 30 MPA</v>
      </c>
      <c r="F98" s="46" t="s">
        <v>232</v>
      </c>
      <c r="G98" s="46" t="s">
        <v>32</v>
      </c>
      <c r="H98" s="47">
        <v>2</v>
      </c>
      <c r="I98" s="48">
        <v>0.8</v>
      </c>
      <c r="J98" s="48">
        <v>0.25</v>
      </c>
      <c r="K98" s="49">
        <v>2.8</v>
      </c>
      <c r="L98" s="50">
        <f t="shared" ref="L98:L105" si="4">H98*I98*J98*K98</f>
        <v>1.1199999999999999</v>
      </c>
    </row>
    <row r="99" spans="2:12" s="2" customFormat="1" ht="11.25" x14ac:dyDescent="0.2">
      <c r="B99" s="45" t="s">
        <v>10</v>
      </c>
      <c r="C99" s="46" t="str">
        <f>IF(B99="","",VLOOKUP(B99,ORÇAMENTO!$B$7:C89,2,0))</f>
        <v>ESTRUTURA</v>
      </c>
      <c r="D99" s="46" t="s">
        <v>104</v>
      </c>
      <c r="E99" s="46" t="str">
        <f>IF(D99="","",VLOOKUP(D99,ORÇAMENTO!$B$7:$E$70,2,0))</f>
        <v>Concreto 30 MPA</v>
      </c>
      <c r="F99" s="46" t="s">
        <v>232</v>
      </c>
      <c r="G99" s="46" t="s">
        <v>32</v>
      </c>
      <c r="H99" s="47">
        <v>7</v>
      </c>
      <c r="I99" s="48">
        <v>0.6</v>
      </c>
      <c r="J99" s="48">
        <v>0.25</v>
      </c>
      <c r="K99" s="49">
        <v>2.8</v>
      </c>
      <c r="L99" s="50">
        <f t="shared" si="4"/>
        <v>2.94</v>
      </c>
    </row>
    <row r="100" spans="2:12" s="2" customFormat="1" ht="11.25" x14ac:dyDescent="0.2">
      <c r="B100" s="45" t="s">
        <v>10</v>
      </c>
      <c r="C100" s="46" t="str">
        <f>IF(B100="","",VLOOKUP(B100,ORÇAMENTO!$B$7:C90,2,0))</f>
        <v>ESTRUTURA</v>
      </c>
      <c r="D100" s="46" t="s">
        <v>104</v>
      </c>
      <c r="E100" s="46" t="str">
        <f>IF(D100="","",VLOOKUP(D100,ORÇAMENTO!$B$7:$E$70,2,0))</f>
        <v>Concreto 30 MPA</v>
      </c>
      <c r="F100" s="46" t="s">
        <v>232</v>
      </c>
      <c r="G100" s="46" t="s">
        <v>32</v>
      </c>
      <c r="H100" s="47">
        <v>2</v>
      </c>
      <c r="I100" s="48">
        <v>0.2</v>
      </c>
      <c r="J100" s="48">
        <v>1.83</v>
      </c>
      <c r="K100" s="49">
        <v>2.8</v>
      </c>
      <c r="L100" s="50">
        <f t="shared" si="4"/>
        <v>2.0496000000000003</v>
      </c>
    </row>
    <row r="101" spans="2:12" s="2" customFormat="1" ht="11.25" x14ac:dyDescent="0.2">
      <c r="B101" s="45" t="s">
        <v>10</v>
      </c>
      <c r="C101" s="46" t="str">
        <f>IF(B101="","",VLOOKUP(B101,ORÇAMENTO!$B$7:C91,2,0))</f>
        <v>ESTRUTURA</v>
      </c>
      <c r="D101" s="46" t="s">
        <v>104</v>
      </c>
      <c r="E101" s="46" t="str">
        <f>IF(D101="","",VLOOKUP(D101,ORÇAMENTO!$B$7:$E$70,2,0))</f>
        <v>Concreto 30 MPA</v>
      </c>
      <c r="F101" s="46" t="s">
        <v>232</v>
      </c>
      <c r="G101" s="46" t="s">
        <v>32</v>
      </c>
      <c r="H101" s="47">
        <v>1</v>
      </c>
      <c r="I101" s="48">
        <v>0.2</v>
      </c>
      <c r="J101" s="48">
        <v>0.7</v>
      </c>
      <c r="K101" s="49">
        <v>2.8</v>
      </c>
      <c r="L101" s="50">
        <f t="shared" si="4"/>
        <v>0.39199999999999996</v>
      </c>
    </row>
    <row r="102" spans="2:12" s="2" customFormat="1" ht="11.25" x14ac:dyDescent="0.2">
      <c r="B102" s="45" t="s">
        <v>10</v>
      </c>
      <c r="C102" s="46" t="str">
        <f>IF(B102="","",VLOOKUP(B102,ORÇAMENTO!$B$7:C92,2,0))</f>
        <v>ESTRUTURA</v>
      </c>
      <c r="D102" s="46" t="s">
        <v>104</v>
      </c>
      <c r="E102" s="46" t="str">
        <f>IF(D102="","",VLOOKUP(D102,ORÇAMENTO!$B$7:$E$70,2,0))</f>
        <v>Concreto 30 MPA</v>
      </c>
      <c r="F102" s="46" t="s">
        <v>232</v>
      </c>
      <c r="G102" s="46" t="s">
        <v>32</v>
      </c>
      <c r="H102" s="47">
        <v>1</v>
      </c>
      <c r="I102" s="48">
        <v>0.5</v>
      </c>
      <c r="J102" s="48">
        <v>0.25</v>
      </c>
      <c r="K102" s="49">
        <v>2.8</v>
      </c>
      <c r="L102" s="50">
        <f t="shared" si="4"/>
        <v>0.35</v>
      </c>
    </row>
    <row r="103" spans="2:12" s="2" customFormat="1" ht="11.25" x14ac:dyDescent="0.2">
      <c r="B103" s="45" t="s">
        <v>10</v>
      </c>
      <c r="C103" s="46" t="str">
        <f>IF(B103="","",VLOOKUP(B103,ORÇAMENTO!$B$7:C93,2,0))</f>
        <v>ESTRUTURA</v>
      </c>
      <c r="D103" s="46" t="s">
        <v>104</v>
      </c>
      <c r="E103" s="46" t="str">
        <f>IF(D103="","",VLOOKUP(D103,ORÇAMENTO!$B$7:$E$70,2,0))</f>
        <v>Concreto 30 MPA</v>
      </c>
      <c r="F103" s="46" t="s">
        <v>232</v>
      </c>
      <c r="G103" s="46" t="s">
        <v>32</v>
      </c>
      <c r="H103" s="47">
        <v>1</v>
      </c>
      <c r="I103" s="48">
        <v>0.3</v>
      </c>
      <c r="J103" s="48">
        <v>0.2</v>
      </c>
      <c r="K103" s="49">
        <v>2.8</v>
      </c>
      <c r="L103" s="50">
        <f t="shared" si="4"/>
        <v>0.16799999999999998</v>
      </c>
    </row>
    <row r="104" spans="2:12" s="2" customFormat="1" ht="11.25" x14ac:dyDescent="0.2">
      <c r="B104" s="45" t="s">
        <v>10</v>
      </c>
      <c r="C104" s="46" t="str">
        <f>IF(B104="","",VLOOKUP(B104,ORÇAMENTO!$B$7:C94,2,0))</f>
        <v>ESTRUTURA</v>
      </c>
      <c r="D104" s="46" t="s">
        <v>104</v>
      </c>
      <c r="E104" s="46" t="str">
        <f>IF(D104="","",VLOOKUP(D104,ORÇAMENTO!$B$7:$E$70,2,0))</f>
        <v>Concreto 30 MPA</v>
      </c>
      <c r="F104" s="46" t="s">
        <v>232</v>
      </c>
      <c r="G104" s="46" t="s">
        <v>32</v>
      </c>
      <c r="H104" s="47">
        <v>2</v>
      </c>
      <c r="I104" s="48">
        <v>0.3</v>
      </c>
      <c r="J104" s="48">
        <v>0.25</v>
      </c>
      <c r="K104" s="49">
        <v>2.8</v>
      </c>
      <c r="L104" s="50">
        <f t="shared" si="4"/>
        <v>0.42</v>
      </c>
    </row>
    <row r="105" spans="2:12" s="2" customFormat="1" ht="11.25" x14ac:dyDescent="0.2">
      <c r="B105" s="45" t="s">
        <v>10</v>
      </c>
      <c r="C105" s="46" t="str">
        <f>IF(B105="","",VLOOKUP(B105,ORÇAMENTO!$B$7:C95,2,0))</f>
        <v>ESTRUTURA</v>
      </c>
      <c r="D105" s="46" t="s">
        <v>104</v>
      </c>
      <c r="E105" s="46" t="str">
        <f>IF(D105="","",VLOOKUP(D105,ORÇAMENTO!$B$7:$E$70,2,0))</f>
        <v>Concreto 30 MPA</v>
      </c>
      <c r="F105" s="46" t="s">
        <v>232</v>
      </c>
      <c r="G105" s="46" t="s">
        <v>32</v>
      </c>
      <c r="H105" s="47">
        <v>4</v>
      </c>
      <c r="I105" s="48">
        <v>0.25</v>
      </c>
      <c r="J105" s="48">
        <v>0.25</v>
      </c>
      <c r="K105" s="49">
        <v>2.8</v>
      </c>
      <c r="L105" s="50">
        <f t="shared" si="4"/>
        <v>0.7</v>
      </c>
    </row>
    <row r="106" spans="2:12" s="2" customFormat="1" ht="11.25" x14ac:dyDescent="0.2">
      <c r="B106" s="45" t="s">
        <v>10</v>
      </c>
      <c r="C106" s="46" t="str">
        <f>IF(B106="","",VLOOKUP(B106,ORÇAMENTO!$B$7:C96,2,0))</f>
        <v>ESTRUTURA</v>
      </c>
      <c r="D106" s="46" t="s">
        <v>104</v>
      </c>
      <c r="E106" s="46" t="str">
        <f>IF(D106="","",VLOOKUP(D106,ORÇAMENTO!$B$7:$E$70,2,0))</f>
        <v>Concreto 30 MPA</v>
      </c>
      <c r="F106" s="46" t="s">
        <v>232</v>
      </c>
      <c r="G106" s="46" t="s">
        <v>234</v>
      </c>
      <c r="H106" s="47">
        <v>1</v>
      </c>
      <c r="I106" s="48"/>
      <c r="J106" s="48">
        <v>230.05</v>
      </c>
      <c r="K106" s="49">
        <v>0.25</v>
      </c>
      <c r="L106" s="50">
        <f>K106*J106</f>
        <v>57.512500000000003</v>
      </c>
    </row>
    <row r="107" spans="2:12" s="2" customFormat="1" ht="11.25" x14ac:dyDescent="0.2">
      <c r="B107" s="45" t="s">
        <v>10</v>
      </c>
      <c r="C107" s="46" t="str">
        <f>IF(B107="","",VLOOKUP(B107,ORÇAMENTO!$B$7:C86,2,0))</f>
        <v>ESTRUTURA</v>
      </c>
      <c r="D107" s="46" t="s">
        <v>105</v>
      </c>
      <c r="E107" s="46" t="str">
        <f>IF(D107="","",VLOOKUP(D107,ORÇAMENTO!$B$7:$E$70,2,0))</f>
        <v>Forma</v>
      </c>
      <c r="F107" s="46" t="s">
        <v>232</v>
      </c>
      <c r="G107" s="46" t="s">
        <v>36</v>
      </c>
      <c r="H107" s="51">
        <v>2.8</v>
      </c>
      <c r="I107" s="52">
        <v>112.36</v>
      </c>
      <c r="J107" s="48">
        <v>1</v>
      </c>
      <c r="K107" s="49">
        <v>1</v>
      </c>
      <c r="L107" s="53">
        <f>K107*J107*I107*H107</f>
        <v>314.608</v>
      </c>
    </row>
    <row r="108" spans="2:12" s="2" customFormat="1" ht="11.25" x14ac:dyDescent="0.2">
      <c r="B108" s="45" t="s">
        <v>10</v>
      </c>
      <c r="C108" s="46" t="str">
        <f>IF(B108="","",VLOOKUP(B108,ORÇAMENTO!$B$7:C90,2,0))</f>
        <v>ESTRUTURA</v>
      </c>
      <c r="D108" s="46" t="s">
        <v>105</v>
      </c>
      <c r="E108" s="46" t="str">
        <f>IF(D108="","",VLOOKUP(D108,ORÇAMENTO!$B$7:$E$70,2,0))</f>
        <v>Forma</v>
      </c>
      <c r="F108" s="46" t="s">
        <v>31</v>
      </c>
      <c r="G108" s="46" t="s">
        <v>36</v>
      </c>
      <c r="H108" s="51">
        <v>2.8</v>
      </c>
      <c r="I108" s="52">
        <f>1.12+2.94+2.05+0.39+0.35+0.17+0.42+0.11+0.08+2.27+0.89+0.38+0.54+0.41+1.27+1.28+0.68+0.12+0.26+0.53+0.26+0.11+1.36+0.2+46.71+-7.42</f>
        <v>57.480000000000004</v>
      </c>
      <c r="J108" s="48">
        <v>1</v>
      </c>
      <c r="K108" s="49">
        <v>1</v>
      </c>
      <c r="L108" s="53">
        <f t="shared" ref="L108:L113" si="5">H108*I108*J108*K108</f>
        <v>160.94399999999999</v>
      </c>
    </row>
    <row r="109" spans="2:12" s="2" customFormat="1" ht="11.25" x14ac:dyDescent="0.2">
      <c r="B109" s="45" t="s">
        <v>10</v>
      </c>
      <c r="C109" s="46" t="str">
        <f>IF(B109="","",VLOOKUP(B109,ORÇAMENTO!$B$7:C92,2,0))</f>
        <v>ESTRUTURA</v>
      </c>
      <c r="D109" s="46" t="s">
        <v>105</v>
      </c>
      <c r="E109" s="46" t="str">
        <f>IF(D109="","",VLOOKUP(D109,ORÇAMENTO!$B$7:$E$70,2,0))</f>
        <v>Forma</v>
      </c>
      <c r="F109" s="46" t="s">
        <v>28</v>
      </c>
      <c r="G109" s="46" t="s">
        <v>36</v>
      </c>
      <c r="H109" s="51">
        <v>2.8</v>
      </c>
      <c r="I109" s="52">
        <f>1.12+2.94+2.05+0.39+0.35+8.96+27.34</f>
        <v>43.15</v>
      </c>
      <c r="J109" s="48">
        <v>1</v>
      </c>
      <c r="K109" s="49">
        <v>1</v>
      </c>
      <c r="L109" s="53">
        <f t="shared" si="5"/>
        <v>120.82</v>
      </c>
    </row>
    <row r="110" spans="2:12" s="2" customFormat="1" ht="11.25" x14ac:dyDescent="0.2">
      <c r="B110" s="45" t="s">
        <v>10</v>
      </c>
      <c r="C110" s="46" t="str">
        <f>IF(B110="","",VLOOKUP(B110,ORÇAMENTO!$B$7:C94,2,0))</f>
        <v>ESTRUTURA</v>
      </c>
      <c r="D110" s="46" t="s">
        <v>105</v>
      </c>
      <c r="E110" s="46" t="str">
        <f>IF(D110="","",VLOOKUP(D110,ORÇAMENTO!$B$7:$E$70,2,0))</f>
        <v>Forma</v>
      </c>
      <c r="F110" s="46" t="s">
        <v>29</v>
      </c>
      <c r="G110" s="46" t="s">
        <v>36</v>
      </c>
      <c r="H110" s="51">
        <v>2.8</v>
      </c>
      <c r="I110" s="52">
        <f>5.2+13.65+9.52+1.82+1.63+2.82+2.4+17.32+6.32+1.46+2.73+11.09+2.13+1.67+159.38</f>
        <v>239.14</v>
      </c>
      <c r="J110" s="48">
        <v>1</v>
      </c>
      <c r="K110" s="49">
        <v>1</v>
      </c>
      <c r="L110" s="53">
        <f t="shared" si="5"/>
        <v>669.59199999999987</v>
      </c>
    </row>
    <row r="111" spans="2:12" s="2" customFormat="1" ht="11.25" x14ac:dyDescent="0.2">
      <c r="B111" s="45" t="s">
        <v>10</v>
      </c>
      <c r="C111" s="46" t="str">
        <f>IF(B111="","",VLOOKUP(B111,ORÇAMENTO!$B$7:C96,2,0))</f>
        <v>ESTRUTURA</v>
      </c>
      <c r="D111" s="46" t="s">
        <v>105</v>
      </c>
      <c r="E111" s="46" t="str">
        <f>IF(D111="","",VLOOKUP(D111,ORÇAMENTO!$B$7:$E$70,2,0))</f>
        <v>Forma</v>
      </c>
      <c r="F111" s="46" t="s">
        <v>34</v>
      </c>
      <c r="G111" s="46" t="s">
        <v>36</v>
      </c>
      <c r="H111" s="51">
        <v>2.8</v>
      </c>
      <c r="I111" s="52">
        <f>5.2+13.65+9.52+1.82+1.63+2.82+2.4+17.32+6.32+1.46+2.73+11.09+2.13+1.67+159.38</f>
        <v>239.14</v>
      </c>
      <c r="J111" s="48">
        <v>1</v>
      </c>
      <c r="K111" s="49">
        <v>1</v>
      </c>
      <c r="L111" s="53">
        <f t="shared" si="5"/>
        <v>669.59199999999987</v>
      </c>
    </row>
    <row r="112" spans="2:12" s="2" customFormat="1" ht="11.25" x14ac:dyDescent="0.2">
      <c r="B112" s="45" t="s">
        <v>10</v>
      </c>
      <c r="C112" s="46" t="str">
        <f>IF(B112="","",VLOOKUP(B112,ORÇAMENTO!$B$7:C98,2,0))</f>
        <v>ESTRUTURA</v>
      </c>
      <c r="D112" s="46" t="s">
        <v>105</v>
      </c>
      <c r="E112" s="46" t="str">
        <f>IF(D112="","",VLOOKUP(D112,ORÇAMENTO!$B$7:$E$70,2,0))</f>
        <v>Forma</v>
      </c>
      <c r="F112" s="46" t="s">
        <v>15</v>
      </c>
      <c r="G112" s="46" t="s">
        <v>36</v>
      </c>
      <c r="H112" s="51">
        <v>2.8</v>
      </c>
      <c r="I112" s="52">
        <f>1.25+0.21+0.52+0.95+0.83+0.4+0.15+0.022+0.26+6.37+32.9+10.88</f>
        <v>54.741999999999997</v>
      </c>
      <c r="J112" s="48">
        <v>1</v>
      </c>
      <c r="K112" s="49">
        <v>1</v>
      </c>
      <c r="L112" s="53">
        <f t="shared" si="5"/>
        <v>153.27759999999998</v>
      </c>
    </row>
    <row r="113" spans="2:12" s="2" customFormat="1" ht="11.25" x14ac:dyDescent="0.2">
      <c r="B113" s="45" t="s">
        <v>10</v>
      </c>
      <c r="C113" s="46" t="str">
        <f>IF(B113="","",VLOOKUP(B113,ORÇAMENTO!$B$7:C100,2,0))</f>
        <v>ESTRUTURA</v>
      </c>
      <c r="D113" s="46" t="s">
        <v>105</v>
      </c>
      <c r="E113" s="46" t="str">
        <f>IF(D113="","",VLOOKUP(D113,ORÇAMENTO!$B$7:$E$70,2,0))</f>
        <v>Forma</v>
      </c>
      <c r="F113" s="46" t="s">
        <v>30</v>
      </c>
      <c r="G113" s="46" t="s">
        <v>36</v>
      </c>
      <c r="H113" s="51">
        <v>2.8</v>
      </c>
      <c r="I113" s="52">
        <f>6.05+2.02+7.81</f>
        <v>15.879999999999999</v>
      </c>
      <c r="J113" s="48">
        <v>1</v>
      </c>
      <c r="K113" s="49">
        <v>1</v>
      </c>
      <c r="L113" s="50">
        <f t="shared" si="5"/>
        <v>44.463999999999992</v>
      </c>
    </row>
    <row r="114" spans="2:12" s="2" customFormat="1" ht="11.25" x14ac:dyDescent="0.2">
      <c r="B114" s="45" t="s">
        <v>10</v>
      </c>
      <c r="C114" s="46" t="str">
        <f>IF(B114="","",VLOOKUP(B114,ORÇAMENTO!$B$7:C85,2,0))</f>
        <v>ESTRUTURA</v>
      </c>
      <c r="D114" s="46" t="s">
        <v>106</v>
      </c>
      <c r="E114" s="46" t="str">
        <f>IF(D114="","",VLOOKUP(D114,ORÇAMENTO!$B$7:$E$70,2,0))</f>
        <v>Armação</v>
      </c>
      <c r="F114" s="46" t="s">
        <v>232</v>
      </c>
      <c r="G114" s="46" t="s">
        <v>36</v>
      </c>
      <c r="H114" s="54">
        <v>100</v>
      </c>
      <c r="I114" s="52">
        <v>112.36</v>
      </c>
      <c r="J114" s="48">
        <v>1</v>
      </c>
      <c r="K114" s="49">
        <v>1</v>
      </c>
      <c r="L114" s="55">
        <f>K114*J114*I114*H114</f>
        <v>11236</v>
      </c>
    </row>
    <row r="115" spans="2:12" s="2" customFormat="1" ht="11.25" x14ac:dyDescent="0.2">
      <c r="B115" s="45" t="s">
        <v>10</v>
      </c>
      <c r="C115" s="46" t="str">
        <f>IF(B115="","",VLOOKUP(B115,ORÇAMENTO!$B$7:C89,2,0))</f>
        <v>ESTRUTURA</v>
      </c>
      <c r="D115" s="46" t="s">
        <v>106</v>
      </c>
      <c r="E115" s="46" t="str">
        <f>IF(D115="","",VLOOKUP(D115,ORÇAMENTO!$B$7:$E$70,2,0))</f>
        <v>Armação</v>
      </c>
      <c r="F115" s="46" t="s">
        <v>31</v>
      </c>
      <c r="G115" s="46" t="s">
        <v>36</v>
      </c>
      <c r="H115" s="54">
        <v>100</v>
      </c>
      <c r="I115" s="52">
        <f>1.12+2.94+2.05+0.39+0.35+0.17+0.42+0.11+0.08+2.27+0.89+0.38+0.54+0.41+1.27+1.28+0.68+0.12+0.26+0.53+0.26+0.11+1.36+0.2+46.71+-7.42</f>
        <v>57.480000000000004</v>
      </c>
      <c r="J115" s="48">
        <v>1</v>
      </c>
      <c r="K115" s="49">
        <v>1</v>
      </c>
      <c r="L115" s="56">
        <f t="shared" ref="L115:L120" si="6">H115*I115*J115*K115</f>
        <v>5748</v>
      </c>
    </row>
    <row r="116" spans="2:12" s="2" customFormat="1" ht="11.25" x14ac:dyDescent="0.2">
      <c r="B116" s="45" t="s">
        <v>10</v>
      </c>
      <c r="C116" s="46" t="str">
        <f>IF(B116="","",VLOOKUP(B116,ORÇAMENTO!$B$7:C91,2,0))</f>
        <v>ESTRUTURA</v>
      </c>
      <c r="D116" s="46" t="s">
        <v>106</v>
      </c>
      <c r="E116" s="46" t="str">
        <f>IF(D116="","",VLOOKUP(D116,ORÇAMENTO!$B$7:$E$70,2,0))</f>
        <v>Armação</v>
      </c>
      <c r="F116" s="46" t="s">
        <v>28</v>
      </c>
      <c r="G116" s="46" t="s">
        <v>36</v>
      </c>
      <c r="H116" s="54">
        <v>100</v>
      </c>
      <c r="I116" s="52">
        <f>1.12+2.94+2.05+0.39+0.35+8.96+27.34</f>
        <v>43.15</v>
      </c>
      <c r="J116" s="48">
        <v>1</v>
      </c>
      <c r="K116" s="49">
        <v>1</v>
      </c>
      <c r="L116" s="56">
        <f t="shared" si="6"/>
        <v>4315</v>
      </c>
    </row>
    <row r="117" spans="2:12" s="2" customFormat="1" ht="11.25" x14ac:dyDescent="0.2">
      <c r="B117" s="45" t="s">
        <v>10</v>
      </c>
      <c r="C117" s="46" t="str">
        <f>IF(B117="","",VLOOKUP(B117,ORÇAMENTO!$B$7:C93,2,0))</f>
        <v>ESTRUTURA</v>
      </c>
      <c r="D117" s="46" t="s">
        <v>106</v>
      </c>
      <c r="E117" s="46" t="str">
        <f>IF(D117="","",VLOOKUP(D117,ORÇAMENTO!$B$7:$E$70,2,0))</f>
        <v>Armação</v>
      </c>
      <c r="F117" s="46" t="s">
        <v>29</v>
      </c>
      <c r="G117" s="46" t="s">
        <v>36</v>
      </c>
      <c r="H117" s="54">
        <v>100</v>
      </c>
      <c r="I117" s="52">
        <f>5.2+13.65+9.52+1.82+1.63+2.82+2.4+17.32+6.32+1.46+2.73+11.09+2.13+1.67+159.38</f>
        <v>239.14</v>
      </c>
      <c r="J117" s="48">
        <v>1</v>
      </c>
      <c r="K117" s="49">
        <v>1</v>
      </c>
      <c r="L117" s="56">
        <f t="shared" si="6"/>
        <v>23914</v>
      </c>
    </row>
    <row r="118" spans="2:12" s="2" customFormat="1" ht="11.25" x14ac:dyDescent="0.2">
      <c r="B118" s="45" t="s">
        <v>10</v>
      </c>
      <c r="C118" s="46" t="str">
        <f>IF(B118="","",VLOOKUP(B118,ORÇAMENTO!$B$7:C95,2,0))</f>
        <v>ESTRUTURA</v>
      </c>
      <c r="D118" s="46" t="s">
        <v>106</v>
      </c>
      <c r="E118" s="46" t="str">
        <f>IF(D118="","",VLOOKUP(D118,ORÇAMENTO!$B$7:$E$70,2,0))</f>
        <v>Armação</v>
      </c>
      <c r="F118" s="46" t="s">
        <v>34</v>
      </c>
      <c r="G118" s="46" t="s">
        <v>36</v>
      </c>
      <c r="H118" s="54">
        <v>100</v>
      </c>
      <c r="I118" s="52">
        <f>5.2+13.65+9.52+1.82+1.63+2.82+2.4+17.32+6.32+1.46+2.73+11.09+2.13+1.67+159.38</f>
        <v>239.14</v>
      </c>
      <c r="J118" s="48">
        <v>1</v>
      </c>
      <c r="K118" s="49">
        <v>1</v>
      </c>
      <c r="L118" s="56">
        <f t="shared" si="6"/>
        <v>23914</v>
      </c>
    </row>
    <row r="119" spans="2:12" s="2" customFormat="1" ht="11.25" x14ac:dyDescent="0.2">
      <c r="B119" s="45" t="s">
        <v>10</v>
      </c>
      <c r="C119" s="46" t="str">
        <f>IF(B119="","",VLOOKUP(B119,ORÇAMENTO!$B$7:C97,2,0))</f>
        <v>ESTRUTURA</v>
      </c>
      <c r="D119" s="46" t="s">
        <v>106</v>
      </c>
      <c r="E119" s="46" t="str">
        <f>IF(D119="","",VLOOKUP(D119,ORÇAMENTO!$B$7:$E$70,2,0))</f>
        <v>Armação</v>
      </c>
      <c r="F119" s="46" t="s">
        <v>15</v>
      </c>
      <c r="G119" s="46" t="s">
        <v>36</v>
      </c>
      <c r="H119" s="54">
        <v>100</v>
      </c>
      <c r="I119" s="52">
        <f>1.25+0.21+0.52+0.95+0.83+0.4+0.15+0.022+0.26+6.37+32.9+10.88</f>
        <v>54.741999999999997</v>
      </c>
      <c r="J119" s="48">
        <v>1</v>
      </c>
      <c r="K119" s="49">
        <v>1</v>
      </c>
      <c r="L119" s="56">
        <f t="shared" si="6"/>
        <v>5474.2</v>
      </c>
    </row>
    <row r="120" spans="2:12" s="2" customFormat="1" ht="11.25" x14ac:dyDescent="0.2">
      <c r="B120" s="45" t="s">
        <v>10</v>
      </c>
      <c r="C120" s="46" t="str">
        <f>IF(B120="","",VLOOKUP(B120,ORÇAMENTO!$B$7:C99,2,0))</f>
        <v>ESTRUTURA</v>
      </c>
      <c r="D120" s="46" t="s">
        <v>106</v>
      </c>
      <c r="E120" s="46" t="str">
        <f>IF(D120="","",VLOOKUP(D120,ORÇAMENTO!$B$7:$E$70,2,0))</f>
        <v>Armação</v>
      </c>
      <c r="F120" s="46" t="s">
        <v>30</v>
      </c>
      <c r="G120" s="46" t="s">
        <v>36</v>
      </c>
      <c r="H120" s="54">
        <v>100</v>
      </c>
      <c r="I120" s="52">
        <f>6.05+2.02+7.81</f>
        <v>15.879999999999999</v>
      </c>
      <c r="J120" s="48">
        <v>1</v>
      </c>
      <c r="K120" s="49">
        <v>1</v>
      </c>
      <c r="L120" s="56">
        <f t="shared" si="6"/>
        <v>1588</v>
      </c>
    </row>
    <row r="121" spans="2:12" x14ac:dyDescent="0.2">
      <c r="B121" s="36" t="s">
        <v>12</v>
      </c>
      <c r="C121" s="37" t="str">
        <f>IF(B121="","",VLOOKUP(B121,ORÇAMENTO!$B$7:C100,2,0))</f>
        <v>ALVENARIA</v>
      </c>
      <c r="D121" s="37" t="s">
        <v>107</v>
      </c>
      <c r="E121" s="37" t="str">
        <f>IF(D121="","",VLOOKUP(D121,ORÇAMENTO!$B$7:$E$70,2,0))</f>
        <v>Alvenaria</v>
      </c>
      <c r="F121" s="37" t="s">
        <v>232</v>
      </c>
      <c r="G121" s="57"/>
      <c r="H121" s="58">
        <v>1</v>
      </c>
      <c r="I121" s="40"/>
      <c r="J121" s="40">
        <v>30.36</v>
      </c>
      <c r="K121" s="41">
        <v>2.8</v>
      </c>
      <c r="L121" s="42">
        <f>J121*K121</f>
        <v>85.007999999999996</v>
      </c>
    </row>
    <row r="122" spans="2:12" x14ac:dyDescent="0.2">
      <c r="B122" s="36" t="s">
        <v>12</v>
      </c>
      <c r="C122" s="37" t="str">
        <f>IF(B122="","",VLOOKUP(B122,ORÇAMENTO!$B$7:C101,2,0))</f>
        <v>ALVENARIA</v>
      </c>
      <c r="D122" s="37" t="s">
        <v>107</v>
      </c>
      <c r="E122" s="37" t="str">
        <f>IF(D122="","",VLOOKUP(D122,ORÇAMENTO!$B$7:$E$70,2,0))</f>
        <v>Alvenaria</v>
      </c>
      <c r="F122" s="37" t="s">
        <v>232</v>
      </c>
      <c r="G122" s="57"/>
      <c r="H122" s="58">
        <v>1</v>
      </c>
      <c r="I122" s="40"/>
      <c r="J122" s="40">
        <v>12.93</v>
      </c>
      <c r="K122" s="41">
        <v>1</v>
      </c>
      <c r="L122" s="42">
        <f>J122*K122</f>
        <v>12.93</v>
      </c>
    </row>
    <row r="123" spans="2:12" x14ac:dyDescent="0.2">
      <c r="B123" s="36" t="s">
        <v>12</v>
      </c>
      <c r="C123" s="37" t="str">
        <f>IF(B123="","",VLOOKUP(B123,ORÇAMENTO!$B$7:C102,2,0))</f>
        <v>ALVENARIA</v>
      </c>
      <c r="D123" s="37" t="s">
        <v>107</v>
      </c>
      <c r="E123" s="37" t="str">
        <f>IF(D123="","",VLOOKUP(D123,ORÇAMENTO!$B$7:$E$70,2,0))</f>
        <v>Alvenaria</v>
      </c>
      <c r="F123" s="37" t="s">
        <v>232</v>
      </c>
      <c r="G123" s="57"/>
      <c r="H123" s="58">
        <v>1</v>
      </c>
      <c r="I123" s="40"/>
      <c r="J123" s="40">
        <v>1.75</v>
      </c>
      <c r="K123" s="41">
        <v>0.1</v>
      </c>
      <c r="L123" s="42">
        <f>J123*K123</f>
        <v>0.17500000000000002</v>
      </c>
    </row>
    <row r="124" spans="2:12" s="2" customFormat="1" ht="11.25" x14ac:dyDescent="0.2">
      <c r="B124" s="36" t="s">
        <v>12</v>
      </c>
      <c r="C124" s="37" t="str">
        <f>IF(B124="","",VLOOKUP(B124,ORÇAMENTO!$B$7:C101,2,0))</f>
        <v>ALVENARIA</v>
      </c>
      <c r="D124" s="37" t="s">
        <v>107</v>
      </c>
      <c r="E124" s="37" t="str">
        <f>IF(D124="","",VLOOKUP(D124,ORÇAMENTO!$B$7:$E$70,2,0))</f>
        <v>Alvenaria</v>
      </c>
      <c r="F124" s="37" t="s">
        <v>31</v>
      </c>
      <c r="G124" s="57"/>
      <c r="H124" s="58">
        <v>1</v>
      </c>
      <c r="I124" s="40">
        <v>123.16</v>
      </c>
      <c r="J124" s="40">
        <v>1</v>
      </c>
      <c r="K124" s="41">
        <v>2.8</v>
      </c>
      <c r="L124" s="42">
        <f t="shared" ref="L124:L155" si="7">H124*I124*J124*K124</f>
        <v>344.84799999999996</v>
      </c>
    </row>
    <row r="125" spans="2:12" s="2" customFormat="1" ht="11.25" x14ac:dyDescent="0.2">
      <c r="B125" s="36" t="s">
        <v>12</v>
      </c>
      <c r="C125" s="37" t="str">
        <f>IF(B125="","",VLOOKUP(B125,ORÇAMENTO!$B$7:C102,2,0))</f>
        <v>ALVENARIA</v>
      </c>
      <c r="D125" s="37" t="s">
        <v>107</v>
      </c>
      <c r="E125" s="37" t="str">
        <f>IF(D125="","",VLOOKUP(D125,ORÇAMENTO!$B$7:$E$70,2,0))</f>
        <v>Alvenaria</v>
      </c>
      <c r="F125" s="37" t="s">
        <v>31</v>
      </c>
      <c r="G125" s="57"/>
      <c r="H125" s="58">
        <v>1</v>
      </c>
      <c r="I125" s="40">
        <v>7.39</v>
      </c>
      <c r="J125" s="40">
        <v>1</v>
      </c>
      <c r="K125" s="41">
        <v>1</v>
      </c>
      <c r="L125" s="42">
        <f t="shared" si="7"/>
        <v>7.39</v>
      </c>
    </row>
    <row r="126" spans="2:12" s="2" customFormat="1" ht="11.25" x14ac:dyDescent="0.2">
      <c r="B126" s="36" t="s">
        <v>12</v>
      </c>
      <c r="C126" s="37" t="str">
        <f>IF(B126="","",VLOOKUP(B126,ORÇAMENTO!$B$7:C104,2,0))</f>
        <v>ALVENARIA</v>
      </c>
      <c r="D126" s="37" t="s">
        <v>107</v>
      </c>
      <c r="E126" s="37" t="str">
        <f>IF(D126="","",VLOOKUP(D126,ORÇAMENTO!$B$7:$E$70,2,0))</f>
        <v>Alvenaria</v>
      </c>
      <c r="F126" s="37" t="s">
        <v>28</v>
      </c>
      <c r="G126" s="57"/>
      <c r="H126" s="58">
        <v>1</v>
      </c>
      <c r="I126" s="40">
        <v>118.46</v>
      </c>
      <c r="J126" s="40">
        <v>1</v>
      </c>
      <c r="K126" s="41">
        <v>2.8</v>
      </c>
      <c r="L126" s="42">
        <f t="shared" si="7"/>
        <v>331.68799999999999</v>
      </c>
    </row>
    <row r="127" spans="2:12" s="2" customFormat="1" ht="11.25" x14ac:dyDescent="0.2">
      <c r="B127" s="36" t="s">
        <v>12</v>
      </c>
      <c r="C127" s="37" t="str">
        <f>IF(B127="","",VLOOKUP(B127,ORÇAMENTO!$B$7:C105,2,0))</f>
        <v>ALVENARIA</v>
      </c>
      <c r="D127" s="37" t="s">
        <v>107</v>
      </c>
      <c r="E127" s="37" t="str">
        <f>IF(D127="","",VLOOKUP(D127,ORÇAMENTO!$B$7:$E$70,2,0))</f>
        <v>Alvenaria</v>
      </c>
      <c r="F127" s="37" t="s">
        <v>28</v>
      </c>
      <c r="G127" s="57"/>
      <c r="H127" s="58">
        <v>1</v>
      </c>
      <c r="I127" s="40">
        <v>36.85</v>
      </c>
      <c r="J127" s="40">
        <v>1</v>
      </c>
      <c r="K127" s="41">
        <v>1.8</v>
      </c>
      <c r="L127" s="42">
        <f t="shared" si="7"/>
        <v>66.33</v>
      </c>
    </row>
    <row r="128" spans="2:12" s="2" customFormat="1" ht="11.25" x14ac:dyDescent="0.2">
      <c r="B128" s="36" t="s">
        <v>12</v>
      </c>
      <c r="C128" s="37" t="str">
        <f>IF(B128="","",VLOOKUP(B128,ORÇAMENTO!$B$7:C106,2,0))</f>
        <v>ALVENARIA</v>
      </c>
      <c r="D128" s="37" t="s">
        <v>107</v>
      </c>
      <c r="E128" s="37" t="str">
        <f>IF(D128="","",VLOOKUP(D128,ORÇAMENTO!$B$7:$E$70,2,0))</f>
        <v>Alvenaria</v>
      </c>
      <c r="F128" s="37" t="s">
        <v>28</v>
      </c>
      <c r="G128" s="57"/>
      <c r="H128" s="58">
        <v>1</v>
      </c>
      <c r="I128" s="40">
        <v>9.8699999999999992</v>
      </c>
      <c r="J128" s="40">
        <v>1</v>
      </c>
      <c r="K128" s="41">
        <v>1</v>
      </c>
      <c r="L128" s="42">
        <f t="shared" si="7"/>
        <v>9.8699999999999992</v>
      </c>
    </row>
    <row r="129" spans="2:12" s="2" customFormat="1" ht="11.25" x14ac:dyDescent="0.2">
      <c r="B129" s="36" t="s">
        <v>12</v>
      </c>
      <c r="C129" s="37" t="str">
        <f>IF(B129="","",VLOOKUP(B129,ORÇAMENTO!$B$7:C108,2,0))</f>
        <v>ALVENARIA</v>
      </c>
      <c r="D129" s="37" t="s">
        <v>107</v>
      </c>
      <c r="E129" s="37" t="str">
        <f>IF(D129="","",VLOOKUP(D129,ORÇAMENTO!$B$7:$E$70,2,0))</f>
        <v>Alvenaria</v>
      </c>
      <c r="F129" s="37" t="s">
        <v>29</v>
      </c>
      <c r="G129" s="57"/>
      <c r="H129" s="58">
        <v>5</v>
      </c>
      <c r="I129" s="40">
        <v>136.16</v>
      </c>
      <c r="J129" s="40">
        <v>1</v>
      </c>
      <c r="K129" s="41">
        <v>2.6</v>
      </c>
      <c r="L129" s="42">
        <f t="shared" si="7"/>
        <v>1770.08</v>
      </c>
    </row>
    <row r="130" spans="2:12" s="2" customFormat="1" ht="11.25" x14ac:dyDescent="0.2">
      <c r="B130" s="36" t="s">
        <v>12</v>
      </c>
      <c r="C130" s="37" t="str">
        <f>IF(B130="","",VLOOKUP(B130,ORÇAMENTO!$B$7:C109,2,0))</f>
        <v>ALVENARIA</v>
      </c>
      <c r="D130" s="37" t="s">
        <v>107</v>
      </c>
      <c r="E130" s="37" t="str">
        <f>IF(D130="","",VLOOKUP(D130,ORÇAMENTO!$B$7:$E$70,2,0))</f>
        <v>Alvenaria</v>
      </c>
      <c r="F130" s="37" t="s">
        <v>29</v>
      </c>
      <c r="G130" s="57"/>
      <c r="H130" s="58">
        <f>5</f>
        <v>5</v>
      </c>
      <c r="I130" s="40">
        <v>22.85</v>
      </c>
      <c r="J130" s="40">
        <v>1</v>
      </c>
      <c r="K130" s="41">
        <v>1</v>
      </c>
      <c r="L130" s="42">
        <f t="shared" si="7"/>
        <v>114.25</v>
      </c>
    </row>
    <row r="131" spans="2:12" x14ac:dyDescent="0.2">
      <c r="B131" s="36" t="s">
        <v>12</v>
      </c>
      <c r="C131" s="37" t="str">
        <f>IF(B131="","",VLOOKUP(B131,ORÇAMENTO!$B$7:C111,2,0))</f>
        <v>ALVENARIA</v>
      </c>
      <c r="D131" s="37" t="s">
        <v>107</v>
      </c>
      <c r="E131" s="37" t="str">
        <f>IF(D131="","",VLOOKUP(D131,ORÇAMENTO!$B$7:$E$70,2,0))</f>
        <v>Alvenaria</v>
      </c>
      <c r="F131" s="37" t="s">
        <v>34</v>
      </c>
      <c r="G131" s="57"/>
      <c r="H131" s="58">
        <v>1</v>
      </c>
      <c r="I131" s="40">
        <v>138.97999999999999</v>
      </c>
      <c r="J131" s="40">
        <v>1</v>
      </c>
      <c r="K131" s="41">
        <v>2.6</v>
      </c>
      <c r="L131" s="42">
        <f t="shared" si="7"/>
        <v>361.34800000000001</v>
      </c>
    </row>
    <row r="132" spans="2:12" x14ac:dyDescent="0.2">
      <c r="B132" s="36" t="s">
        <v>12</v>
      </c>
      <c r="C132" s="37" t="str">
        <f>IF(B132="","",VLOOKUP(B132,ORÇAMENTO!$B$7:C112,2,0))</f>
        <v>ALVENARIA</v>
      </c>
      <c r="D132" s="37" t="s">
        <v>107</v>
      </c>
      <c r="E132" s="37" t="str">
        <f>IF(D132="","",VLOOKUP(D132,ORÇAMENTO!$B$7:$E$70,2,0))</f>
        <v>Alvenaria</v>
      </c>
      <c r="F132" s="37" t="s">
        <v>34</v>
      </c>
      <c r="G132" s="57"/>
      <c r="H132" s="58">
        <v>1</v>
      </c>
      <c r="I132" s="40">
        <v>22.85</v>
      </c>
      <c r="J132" s="40">
        <v>1</v>
      </c>
      <c r="K132" s="41">
        <v>1</v>
      </c>
      <c r="L132" s="42">
        <f t="shared" si="7"/>
        <v>22.85</v>
      </c>
    </row>
    <row r="133" spans="2:12" x14ac:dyDescent="0.2">
      <c r="B133" s="36" t="s">
        <v>12</v>
      </c>
      <c r="C133" s="37" t="str">
        <f>IF(B133="","",VLOOKUP(B133,ORÇAMENTO!$B$7:C114,2,0))</f>
        <v>ALVENARIA</v>
      </c>
      <c r="D133" s="37" t="s">
        <v>107</v>
      </c>
      <c r="E133" s="37" t="str">
        <f>IF(D133="","",VLOOKUP(D133,ORÇAMENTO!$B$7:$E$70,2,0))</f>
        <v>Alvenaria</v>
      </c>
      <c r="F133" s="37" t="s">
        <v>15</v>
      </c>
      <c r="G133" s="57"/>
      <c r="H133" s="58">
        <v>1</v>
      </c>
      <c r="I133" s="40">
        <v>4.7699999999999996</v>
      </c>
      <c r="J133" s="40">
        <v>1</v>
      </c>
      <c r="K133" s="41">
        <v>2.8</v>
      </c>
      <c r="L133" s="42">
        <f t="shared" si="7"/>
        <v>13.355999999999998</v>
      </c>
    </row>
    <row r="134" spans="2:12" x14ac:dyDescent="0.2">
      <c r="B134" s="36" t="s">
        <v>12</v>
      </c>
      <c r="C134" s="37" t="str">
        <f>IF(B134="","",VLOOKUP(B134,ORÇAMENTO!$B$7:C115,2,0))</f>
        <v>ALVENARIA</v>
      </c>
      <c r="D134" s="37" t="s">
        <v>107</v>
      </c>
      <c r="E134" s="37" t="str">
        <f>IF(D134="","",VLOOKUP(D134,ORÇAMENTO!$B$7:$E$70,2,0))</f>
        <v>Alvenaria</v>
      </c>
      <c r="F134" s="37" t="s">
        <v>15</v>
      </c>
      <c r="G134" s="57"/>
      <c r="H134" s="58">
        <v>1</v>
      </c>
      <c r="I134" s="40">
        <v>4.1500000000000004</v>
      </c>
      <c r="J134" s="40">
        <v>1</v>
      </c>
      <c r="K134" s="41">
        <v>2.2999999999999998</v>
      </c>
      <c r="L134" s="42">
        <f t="shared" si="7"/>
        <v>9.5449999999999999</v>
      </c>
    </row>
    <row r="135" spans="2:12" x14ac:dyDescent="0.2">
      <c r="B135" s="36" t="s">
        <v>12</v>
      </c>
      <c r="C135" s="37" t="str">
        <f>IF(B135="","",VLOOKUP(B135,ORÇAMENTO!$B$7:C116,2,0))</f>
        <v>ALVENARIA</v>
      </c>
      <c r="D135" s="37" t="s">
        <v>107</v>
      </c>
      <c r="E135" s="37" t="str">
        <f>IF(D135="","",VLOOKUP(D135,ORÇAMENTO!$B$7:$E$70,2,0))</f>
        <v>Alvenaria</v>
      </c>
      <c r="F135" s="37" t="s">
        <v>15</v>
      </c>
      <c r="G135" s="57"/>
      <c r="H135" s="58">
        <v>1</v>
      </c>
      <c r="I135" s="40">
        <v>36.729999999999997</v>
      </c>
      <c r="J135" s="40">
        <v>1</v>
      </c>
      <c r="K135" s="41">
        <v>2.15</v>
      </c>
      <c r="L135" s="42">
        <f t="shared" si="7"/>
        <v>78.969499999999996</v>
      </c>
    </row>
    <row r="136" spans="2:12" x14ac:dyDescent="0.2">
      <c r="B136" s="36" t="s">
        <v>12</v>
      </c>
      <c r="C136" s="37" t="str">
        <f>IF(B136="","",VLOOKUP(B136,ORÇAMENTO!$B$7:C117,2,0))</f>
        <v>ALVENARIA</v>
      </c>
      <c r="D136" s="37" t="s">
        <v>107</v>
      </c>
      <c r="E136" s="37" t="str">
        <f>IF(D136="","",VLOOKUP(D136,ORÇAMENTO!$B$7:$E$70,2,0))</f>
        <v>Alvenaria</v>
      </c>
      <c r="F136" s="37" t="s">
        <v>15</v>
      </c>
      <c r="G136" s="57"/>
      <c r="H136" s="58">
        <v>1</v>
      </c>
      <c r="I136" s="40">
        <v>22.01</v>
      </c>
      <c r="J136" s="40">
        <v>1</v>
      </c>
      <c r="K136" s="41">
        <v>1.8</v>
      </c>
      <c r="L136" s="42">
        <f t="shared" si="7"/>
        <v>39.618000000000002</v>
      </c>
    </row>
    <row r="137" spans="2:12" x14ac:dyDescent="0.2">
      <c r="B137" s="36" t="s">
        <v>12</v>
      </c>
      <c r="C137" s="37" t="str">
        <f>IF(B137="","",VLOOKUP(B137,ORÇAMENTO!$B$7:C118,2,0))</f>
        <v>ALVENARIA</v>
      </c>
      <c r="D137" s="37" t="s">
        <v>107</v>
      </c>
      <c r="E137" s="37" t="str">
        <f>IF(D137="","",VLOOKUP(D137,ORÇAMENTO!$B$7:$E$70,2,0))</f>
        <v>Alvenaria</v>
      </c>
      <c r="F137" s="37" t="s">
        <v>15</v>
      </c>
      <c r="G137" s="57"/>
      <c r="H137" s="58">
        <v>1</v>
      </c>
      <c r="I137" s="40">
        <v>66.05</v>
      </c>
      <c r="J137" s="40">
        <v>1</v>
      </c>
      <c r="K137" s="41">
        <v>1.2</v>
      </c>
      <c r="L137" s="42">
        <f t="shared" si="7"/>
        <v>79.259999999999991</v>
      </c>
    </row>
    <row r="138" spans="2:12" x14ac:dyDescent="0.2">
      <c r="B138" s="36" t="s">
        <v>12</v>
      </c>
      <c r="C138" s="37" t="str">
        <f>IF(B138="","",VLOOKUP(B138,ORÇAMENTO!$B$7:C116,2,0))</f>
        <v>ALVENARIA</v>
      </c>
      <c r="D138" s="37" t="s">
        <v>107</v>
      </c>
      <c r="E138" s="37" t="str">
        <f>IF(D138="","",VLOOKUP(D138,ORÇAMENTO!$B$7:$E$70,2,0))</f>
        <v>Alvenaria</v>
      </c>
      <c r="F138" s="37" t="s">
        <v>15</v>
      </c>
      <c r="G138" s="57"/>
      <c r="H138" s="58">
        <v>1</v>
      </c>
      <c r="I138" s="40">
        <v>3.3</v>
      </c>
      <c r="J138" s="40">
        <v>1</v>
      </c>
      <c r="K138" s="41">
        <v>1</v>
      </c>
      <c r="L138" s="42">
        <f t="shared" si="7"/>
        <v>3.3</v>
      </c>
    </row>
    <row r="139" spans="2:12" x14ac:dyDescent="0.2">
      <c r="B139" s="36" t="s">
        <v>12</v>
      </c>
      <c r="C139" s="37" t="str">
        <f>IF(B139="","",VLOOKUP(B139,ORÇAMENTO!$B$7:C117,2,0))</f>
        <v>ALVENARIA</v>
      </c>
      <c r="D139" s="37" t="s">
        <v>107</v>
      </c>
      <c r="E139" s="37" t="str">
        <f>IF(D139="","",VLOOKUP(D139,ORÇAMENTO!$B$7:$E$70,2,0))</f>
        <v>Alvenaria</v>
      </c>
      <c r="F139" s="37" t="s">
        <v>15</v>
      </c>
      <c r="G139" s="57"/>
      <c r="H139" s="58">
        <v>1</v>
      </c>
      <c r="I139" s="40">
        <v>1.37</v>
      </c>
      <c r="J139" s="40">
        <v>1</v>
      </c>
      <c r="K139" s="41">
        <v>0.5</v>
      </c>
      <c r="L139" s="42">
        <f t="shared" si="7"/>
        <v>0.68500000000000005</v>
      </c>
    </row>
    <row r="140" spans="2:12" x14ac:dyDescent="0.2">
      <c r="B140" s="36" t="s">
        <v>12</v>
      </c>
      <c r="C140" s="37" t="str">
        <f>IF(B140="","",VLOOKUP(B140,ORÇAMENTO!$B$7:C119,2,0))</f>
        <v>ALVENARIA</v>
      </c>
      <c r="D140" s="37" t="s">
        <v>107</v>
      </c>
      <c r="E140" s="37" t="str">
        <f>IF(D140="","",VLOOKUP(D140,ORÇAMENTO!$B$7:$E$70,2,0))</f>
        <v>Alvenaria</v>
      </c>
      <c r="F140" s="37" t="s">
        <v>30</v>
      </c>
      <c r="G140" s="57"/>
      <c r="H140" s="58">
        <v>2</v>
      </c>
      <c r="I140" s="40">
        <v>15.93</v>
      </c>
      <c r="J140" s="40">
        <v>1</v>
      </c>
      <c r="K140" s="41">
        <v>2.8</v>
      </c>
      <c r="L140" s="42">
        <f t="shared" si="7"/>
        <v>89.207999999999998</v>
      </c>
    </row>
    <row r="141" spans="2:12" x14ac:dyDescent="0.2">
      <c r="B141" s="36" t="s">
        <v>12</v>
      </c>
      <c r="C141" s="37" t="str">
        <f>IF(B141="","",VLOOKUP(B141,ORÇAMENTO!$B$7:C120,2,0))</f>
        <v>ALVENARIA</v>
      </c>
      <c r="D141" s="37" t="s">
        <v>107</v>
      </c>
      <c r="E141" s="37" t="str">
        <f>IF(D141="","",VLOOKUP(D141,ORÇAMENTO!$B$7:$E$70,2,0))</f>
        <v>Alvenaria</v>
      </c>
      <c r="F141" s="37" t="s">
        <v>30</v>
      </c>
      <c r="G141" s="57"/>
      <c r="H141" s="58">
        <v>1</v>
      </c>
      <c r="I141" s="40">
        <v>6.9</v>
      </c>
      <c r="J141" s="40">
        <v>1</v>
      </c>
      <c r="K141" s="41">
        <v>2.8</v>
      </c>
      <c r="L141" s="42">
        <f t="shared" si="7"/>
        <v>19.32</v>
      </c>
    </row>
    <row r="142" spans="2:12" x14ac:dyDescent="0.2">
      <c r="B142" s="45" t="s">
        <v>13</v>
      </c>
      <c r="C142" s="46" t="str">
        <f>IF(B142="","",VLOOKUP(B142,ORÇAMENTO!$B$7:C346,2,0))</f>
        <v>ESQUADRIAS</v>
      </c>
      <c r="D142" s="46" t="s">
        <v>108</v>
      </c>
      <c r="E142" s="46" t="str">
        <f>IF(D142="","",VLOOKUP(D142,ORÇAMENTO!$B$7:$E$70,2,0))</f>
        <v>Esquadria de Alumínio</v>
      </c>
      <c r="F142" s="46" t="s">
        <v>28</v>
      </c>
      <c r="G142" s="46" t="s">
        <v>75</v>
      </c>
      <c r="H142" s="47">
        <v>2</v>
      </c>
      <c r="I142" s="48">
        <v>0.6</v>
      </c>
      <c r="J142" s="48">
        <v>0.6</v>
      </c>
      <c r="K142" s="49">
        <v>1</v>
      </c>
      <c r="L142" s="53">
        <f t="shared" si="7"/>
        <v>0.72</v>
      </c>
    </row>
    <row r="143" spans="2:12" x14ac:dyDescent="0.2">
      <c r="B143" s="45" t="s">
        <v>13</v>
      </c>
      <c r="C143" s="46" t="str">
        <f>IF(B143="","",VLOOKUP(B143,ORÇAMENTO!$B$7:C347,2,0))</f>
        <v>ESQUADRIAS</v>
      </c>
      <c r="D143" s="46" t="s">
        <v>108</v>
      </c>
      <c r="E143" s="46" t="str">
        <f>IF(D143="","",VLOOKUP(D143,ORÇAMENTO!$B$7:$E$70,2,0))</f>
        <v>Esquadria de Alumínio</v>
      </c>
      <c r="F143" s="46" t="s">
        <v>28</v>
      </c>
      <c r="G143" s="46" t="s">
        <v>76</v>
      </c>
      <c r="H143" s="47">
        <v>1</v>
      </c>
      <c r="I143" s="48">
        <v>1</v>
      </c>
      <c r="J143" s="48">
        <v>0.6</v>
      </c>
      <c r="K143" s="49">
        <v>1</v>
      </c>
      <c r="L143" s="53">
        <f t="shared" si="7"/>
        <v>0.6</v>
      </c>
    </row>
    <row r="144" spans="2:12" x14ac:dyDescent="0.2">
      <c r="B144" s="45" t="s">
        <v>13</v>
      </c>
      <c r="C144" s="46" t="str">
        <f>IF(B144="","",VLOOKUP(B144,ORÇAMENTO!$B$7:C348,2,0))</f>
        <v>ESQUADRIAS</v>
      </c>
      <c r="D144" s="46" t="s">
        <v>108</v>
      </c>
      <c r="E144" s="46" t="str">
        <f>IF(D144="","",VLOOKUP(D144,ORÇAMENTO!$B$7:$E$70,2,0))</f>
        <v>Esquadria de Alumínio</v>
      </c>
      <c r="F144" s="46" t="s">
        <v>28</v>
      </c>
      <c r="G144" s="46" t="s">
        <v>77</v>
      </c>
      <c r="H144" s="47">
        <v>1</v>
      </c>
      <c r="I144" s="48">
        <v>3.4</v>
      </c>
      <c r="J144" s="48">
        <v>0.6</v>
      </c>
      <c r="K144" s="49">
        <v>1</v>
      </c>
      <c r="L144" s="53">
        <f t="shared" si="7"/>
        <v>2.04</v>
      </c>
    </row>
    <row r="145" spans="2:12" x14ac:dyDescent="0.2">
      <c r="B145" s="45" t="s">
        <v>13</v>
      </c>
      <c r="C145" s="46" t="str">
        <f>IF(B145="","",VLOOKUP(B145,ORÇAMENTO!$B$7:C349,2,0))</f>
        <v>ESQUADRIAS</v>
      </c>
      <c r="D145" s="46" t="s">
        <v>108</v>
      </c>
      <c r="E145" s="46" t="str">
        <f>IF(D145="","",VLOOKUP(D145,ORÇAMENTO!$B$7:$E$70,2,0))</f>
        <v>Esquadria de Alumínio</v>
      </c>
      <c r="F145" s="46" t="s">
        <v>28</v>
      </c>
      <c r="G145" s="46" t="s">
        <v>78</v>
      </c>
      <c r="H145" s="47">
        <v>1</v>
      </c>
      <c r="I145" s="48">
        <v>1.65</v>
      </c>
      <c r="J145" s="48">
        <v>0.6</v>
      </c>
      <c r="K145" s="49">
        <v>1</v>
      </c>
      <c r="L145" s="53">
        <f t="shared" si="7"/>
        <v>0.98999999999999988</v>
      </c>
    </row>
    <row r="146" spans="2:12" x14ac:dyDescent="0.2">
      <c r="B146" s="45" t="s">
        <v>13</v>
      </c>
      <c r="C146" s="46" t="str">
        <f>IF(B146="","",VLOOKUP(B146,ORÇAMENTO!$B$7:C350,2,0))</f>
        <v>ESQUADRIAS</v>
      </c>
      <c r="D146" s="46" t="s">
        <v>108</v>
      </c>
      <c r="E146" s="46" t="str">
        <f>IF(D146="","",VLOOKUP(D146,ORÇAMENTO!$B$7:$E$70,2,0))</f>
        <v>Esquadria de Alumínio</v>
      </c>
      <c r="F146" s="46" t="s">
        <v>28</v>
      </c>
      <c r="G146" s="46" t="s">
        <v>79</v>
      </c>
      <c r="H146" s="47">
        <v>1</v>
      </c>
      <c r="I146" s="48">
        <v>2.4</v>
      </c>
      <c r="J146" s="48">
        <v>1.2</v>
      </c>
      <c r="K146" s="49">
        <v>1</v>
      </c>
      <c r="L146" s="53">
        <f t="shared" si="7"/>
        <v>2.88</v>
      </c>
    </row>
    <row r="147" spans="2:12" x14ac:dyDescent="0.2">
      <c r="B147" s="45" t="s">
        <v>13</v>
      </c>
      <c r="C147" s="46" t="str">
        <f>IF(B147="","",VLOOKUP(B147,ORÇAMENTO!$B$7:C351,2,0))</f>
        <v>ESQUADRIAS</v>
      </c>
      <c r="D147" s="46" t="s">
        <v>108</v>
      </c>
      <c r="E147" s="46" t="str">
        <f>IF(D147="","",VLOOKUP(D147,ORÇAMENTO!$B$7:$E$70,2,0))</f>
        <v>Esquadria de Alumínio</v>
      </c>
      <c r="F147" s="46" t="s">
        <v>28</v>
      </c>
      <c r="G147" s="46" t="s">
        <v>80</v>
      </c>
      <c r="H147" s="47">
        <v>1</v>
      </c>
      <c r="I147" s="48">
        <v>7.45</v>
      </c>
      <c r="J147" s="48">
        <v>1</v>
      </c>
      <c r="K147" s="49">
        <v>1</v>
      </c>
      <c r="L147" s="53">
        <f t="shared" si="7"/>
        <v>7.45</v>
      </c>
    </row>
    <row r="148" spans="2:12" x14ac:dyDescent="0.2">
      <c r="B148" s="45" t="s">
        <v>13</v>
      </c>
      <c r="C148" s="46" t="str">
        <f>IF(B148="","",VLOOKUP(B148,ORÇAMENTO!$B$7:C358,2,0))</f>
        <v>ESQUADRIAS</v>
      </c>
      <c r="D148" s="46" t="s">
        <v>108</v>
      </c>
      <c r="E148" s="46" t="str">
        <f>IF(D148="","",VLOOKUP(D148,ORÇAMENTO!$B$7:$E$70,2,0))</f>
        <v>Esquadria de Alumínio</v>
      </c>
      <c r="F148" s="46" t="s">
        <v>29</v>
      </c>
      <c r="G148" s="46" t="s">
        <v>81</v>
      </c>
      <c r="H148" s="47">
        <f>5*2</f>
        <v>10</v>
      </c>
      <c r="I148" s="48">
        <v>1.5</v>
      </c>
      <c r="J148" s="48">
        <v>1</v>
      </c>
      <c r="K148" s="49">
        <v>0.6</v>
      </c>
      <c r="L148" s="53">
        <f t="shared" si="7"/>
        <v>9</v>
      </c>
    </row>
    <row r="149" spans="2:12" x14ac:dyDescent="0.2">
      <c r="B149" s="45" t="s">
        <v>13</v>
      </c>
      <c r="C149" s="46" t="str">
        <f>IF(B149="","",VLOOKUP(B149,ORÇAMENTO!$B$7:C359,2,0))</f>
        <v>ESQUADRIAS</v>
      </c>
      <c r="D149" s="46" t="s">
        <v>108</v>
      </c>
      <c r="E149" s="46" t="str">
        <f>IF(D149="","",VLOOKUP(D149,ORÇAMENTO!$B$7:$E$70,2,0))</f>
        <v>Esquadria de Alumínio</v>
      </c>
      <c r="F149" s="46" t="s">
        <v>29</v>
      </c>
      <c r="G149" s="46" t="s">
        <v>82</v>
      </c>
      <c r="H149" s="47">
        <f>5*2</f>
        <v>10</v>
      </c>
      <c r="I149" s="48">
        <v>1.5</v>
      </c>
      <c r="J149" s="48">
        <v>1.2</v>
      </c>
      <c r="K149" s="49">
        <v>1</v>
      </c>
      <c r="L149" s="53">
        <f t="shared" si="7"/>
        <v>18</v>
      </c>
    </row>
    <row r="150" spans="2:12" x14ac:dyDescent="0.2">
      <c r="B150" s="45" t="s">
        <v>13</v>
      </c>
      <c r="C150" s="46" t="str">
        <f>IF(B150="","",VLOOKUP(B150,ORÇAMENTO!$B$7:C360,2,0))</f>
        <v>ESQUADRIAS</v>
      </c>
      <c r="D150" s="46" t="s">
        <v>108</v>
      </c>
      <c r="E150" s="46" t="str">
        <f>IF(D150="","",VLOOKUP(D150,ORÇAMENTO!$B$7:$E$70,2,0))</f>
        <v>Esquadria de Alumínio</v>
      </c>
      <c r="F150" s="46" t="s">
        <v>29</v>
      </c>
      <c r="G150" s="46" t="s">
        <v>83</v>
      </c>
      <c r="H150" s="47">
        <f>5*1</f>
        <v>5</v>
      </c>
      <c r="I150" s="48">
        <v>1</v>
      </c>
      <c r="J150" s="48">
        <v>1</v>
      </c>
      <c r="K150" s="49">
        <v>0.6</v>
      </c>
      <c r="L150" s="53">
        <f t="shared" si="7"/>
        <v>3</v>
      </c>
    </row>
    <row r="151" spans="2:12" x14ac:dyDescent="0.2">
      <c r="B151" s="45" t="s">
        <v>13</v>
      </c>
      <c r="C151" s="46" t="str">
        <f>IF(B151="","",VLOOKUP(B151,ORÇAMENTO!$B$7:C361,2,0))</f>
        <v>ESQUADRIAS</v>
      </c>
      <c r="D151" s="46" t="s">
        <v>108</v>
      </c>
      <c r="E151" s="46" t="str">
        <f>IF(D151="","",VLOOKUP(D151,ORÇAMENTO!$B$7:$E$70,2,0))</f>
        <v>Esquadria de Alumínio</v>
      </c>
      <c r="F151" s="46" t="s">
        <v>29</v>
      </c>
      <c r="G151" s="46" t="s">
        <v>84</v>
      </c>
      <c r="H151" s="47">
        <f>5*1</f>
        <v>5</v>
      </c>
      <c r="I151" s="48">
        <v>0.75</v>
      </c>
      <c r="J151" s="48">
        <v>1</v>
      </c>
      <c r="K151" s="49">
        <v>0.6</v>
      </c>
      <c r="L151" s="53">
        <f t="shared" si="7"/>
        <v>2.25</v>
      </c>
    </row>
    <row r="152" spans="2:12" x14ac:dyDescent="0.2">
      <c r="B152" s="45" t="s">
        <v>13</v>
      </c>
      <c r="C152" s="46" t="str">
        <f>IF(B152="","",VLOOKUP(B152,ORÇAMENTO!$B$7:C362,2,0))</f>
        <v>ESQUADRIAS</v>
      </c>
      <c r="D152" s="46" t="s">
        <v>108</v>
      </c>
      <c r="E152" s="46" t="str">
        <f>IF(D152="","",VLOOKUP(D152,ORÇAMENTO!$B$7:$E$70,2,0))</f>
        <v>Esquadria de Alumínio</v>
      </c>
      <c r="F152" s="46" t="s">
        <v>29</v>
      </c>
      <c r="G152" s="46" t="s">
        <v>248</v>
      </c>
      <c r="H152" s="47">
        <f>5*3</f>
        <v>15</v>
      </c>
      <c r="I152" s="48">
        <v>1.5</v>
      </c>
      <c r="J152" s="48">
        <v>2.2000000000000002</v>
      </c>
      <c r="K152" s="49">
        <v>1</v>
      </c>
      <c r="L152" s="53">
        <f t="shared" si="7"/>
        <v>49.500000000000007</v>
      </c>
    </row>
    <row r="153" spans="2:12" x14ac:dyDescent="0.2">
      <c r="B153" s="45" t="s">
        <v>13</v>
      </c>
      <c r="C153" s="46" t="str">
        <f>IF(B153="","",VLOOKUP(B153,ORÇAMENTO!$B$7:C363,2,0))</f>
        <v>ESQUADRIAS</v>
      </c>
      <c r="D153" s="46" t="s">
        <v>108</v>
      </c>
      <c r="E153" s="46" t="str">
        <f>IF(D153="","",VLOOKUP(D153,ORÇAMENTO!$B$7:$E$70,2,0))</f>
        <v>Esquadria de Alumínio</v>
      </c>
      <c r="F153" s="46" t="s">
        <v>29</v>
      </c>
      <c r="G153" s="46" t="s">
        <v>249</v>
      </c>
      <c r="H153" s="47">
        <f>5*1</f>
        <v>5</v>
      </c>
      <c r="I153" s="48">
        <v>5</v>
      </c>
      <c r="J153" s="48">
        <v>2.2000000000000002</v>
      </c>
      <c r="K153" s="49">
        <v>1</v>
      </c>
      <c r="L153" s="53">
        <f t="shared" si="7"/>
        <v>55.000000000000007</v>
      </c>
    </row>
    <row r="154" spans="2:12" x14ac:dyDescent="0.2">
      <c r="B154" s="45" t="s">
        <v>13</v>
      </c>
      <c r="C154" s="46" t="str">
        <f>IF(B154="","",VLOOKUP(B154,ORÇAMENTO!$B$7:C373,2,0))</f>
        <v>ESQUADRIAS</v>
      </c>
      <c r="D154" s="46" t="s">
        <v>108</v>
      </c>
      <c r="E154" s="46" t="str">
        <f>IF(D154="","",VLOOKUP(D154,ORÇAMENTO!$B$7:$E$70,2,0))</f>
        <v>Esquadria de Alumínio</v>
      </c>
      <c r="F154" s="46" t="s">
        <v>34</v>
      </c>
      <c r="G154" s="46" t="s">
        <v>83</v>
      </c>
      <c r="H154" s="47">
        <v>1</v>
      </c>
      <c r="I154" s="48">
        <v>0.6</v>
      </c>
      <c r="J154" s="48">
        <v>0.6</v>
      </c>
      <c r="K154" s="49">
        <v>1</v>
      </c>
      <c r="L154" s="53">
        <f t="shared" si="7"/>
        <v>0.36</v>
      </c>
    </row>
    <row r="155" spans="2:12" x14ac:dyDescent="0.2">
      <c r="B155" s="45" t="s">
        <v>13</v>
      </c>
      <c r="C155" s="46" t="str">
        <f>IF(B155="","",VLOOKUP(B155,ORÇAMENTO!$B$7:C374,2,0))</f>
        <v>ESQUADRIAS</v>
      </c>
      <c r="D155" s="46" t="s">
        <v>108</v>
      </c>
      <c r="E155" s="46" t="str">
        <f>IF(D155="","",VLOOKUP(D155,ORÇAMENTO!$B$7:$E$70,2,0))</f>
        <v>Esquadria de Alumínio</v>
      </c>
      <c r="F155" s="46" t="s">
        <v>34</v>
      </c>
      <c r="G155" s="46" t="s">
        <v>84</v>
      </c>
      <c r="H155" s="47">
        <v>2</v>
      </c>
      <c r="I155" s="48">
        <v>1.5</v>
      </c>
      <c r="J155" s="48">
        <v>1.2</v>
      </c>
      <c r="K155" s="49">
        <v>1</v>
      </c>
      <c r="L155" s="53">
        <f t="shared" si="7"/>
        <v>3.5999999999999996</v>
      </c>
    </row>
    <row r="156" spans="2:12" x14ac:dyDescent="0.2">
      <c r="B156" s="45" t="s">
        <v>13</v>
      </c>
      <c r="C156" s="46" t="str">
        <f>IF(B156="","",VLOOKUP(B156,ORÇAMENTO!$B$7:C375,2,0))</f>
        <v>ESQUADRIAS</v>
      </c>
      <c r="D156" s="46" t="s">
        <v>108</v>
      </c>
      <c r="E156" s="46" t="str">
        <f>IF(D156="","",VLOOKUP(D156,ORÇAMENTO!$B$7:$E$70,2,0))</f>
        <v>Esquadria de Alumínio</v>
      </c>
      <c r="F156" s="46" t="s">
        <v>34</v>
      </c>
      <c r="G156" s="46" t="s">
        <v>248</v>
      </c>
      <c r="H156" s="47">
        <v>3</v>
      </c>
      <c r="I156" s="48">
        <v>1.5</v>
      </c>
      <c r="J156" s="48">
        <v>2.2000000000000002</v>
      </c>
      <c r="K156" s="49">
        <v>1</v>
      </c>
      <c r="L156" s="53">
        <f t="shared" ref="L156:L187" si="8">H156*I156*J156*K156</f>
        <v>9.9</v>
      </c>
    </row>
    <row r="157" spans="2:12" x14ac:dyDescent="0.2">
      <c r="B157" s="45" t="s">
        <v>13</v>
      </c>
      <c r="C157" s="46" t="str">
        <f>IF(B157="","",VLOOKUP(B157,ORÇAMENTO!$B$7:C376,2,0))</f>
        <v>ESQUADRIAS</v>
      </c>
      <c r="D157" s="46" t="s">
        <v>108</v>
      </c>
      <c r="E157" s="46" t="str">
        <f>IF(D157="","",VLOOKUP(D157,ORÇAMENTO!$B$7:$E$70,2,0))</f>
        <v>Esquadria de Alumínio</v>
      </c>
      <c r="F157" s="46" t="s">
        <v>34</v>
      </c>
      <c r="G157" s="46" t="s">
        <v>249</v>
      </c>
      <c r="H157" s="47">
        <v>1</v>
      </c>
      <c r="I157" s="48">
        <v>5</v>
      </c>
      <c r="J157" s="48">
        <v>2.2000000000000002</v>
      </c>
      <c r="K157" s="49">
        <v>1.1000000000000001</v>
      </c>
      <c r="L157" s="53">
        <f t="shared" si="8"/>
        <v>12.100000000000001</v>
      </c>
    </row>
    <row r="158" spans="2:12" x14ac:dyDescent="0.2">
      <c r="B158" s="45" t="s">
        <v>13</v>
      </c>
      <c r="C158" s="46" t="str">
        <f>IF(B158="","",VLOOKUP(B158,ORÇAMENTO!$B$7:C386,2,0))</f>
        <v>ESQUADRIAS</v>
      </c>
      <c r="D158" s="46" t="s">
        <v>108</v>
      </c>
      <c r="E158" s="46" t="str">
        <f>IF(D158="","",VLOOKUP(D158,ORÇAMENTO!$B$7:$E$70,2,0))</f>
        <v>Esquadria de Alumínio</v>
      </c>
      <c r="F158" s="46" t="s">
        <v>15</v>
      </c>
      <c r="G158" s="46" t="s">
        <v>85</v>
      </c>
      <c r="H158" s="47">
        <v>1</v>
      </c>
      <c r="I158" s="48">
        <v>1.65</v>
      </c>
      <c r="J158" s="48">
        <v>1</v>
      </c>
      <c r="K158" s="49">
        <v>0.35</v>
      </c>
      <c r="L158" s="53">
        <f t="shared" si="8"/>
        <v>0.5774999999999999</v>
      </c>
    </row>
    <row r="159" spans="2:12" x14ac:dyDescent="0.2">
      <c r="B159" s="45" t="s">
        <v>13</v>
      </c>
      <c r="C159" s="46" t="str">
        <f>IF(B159="","",VLOOKUP(B159,ORÇAMENTO!$B$7:C390,2,0))</f>
        <v>ESQUADRIAS</v>
      </c>
      <c r="D159" s="46" t="s">
        <v>108</v>
      </c>
      <c r="E159" s="46" t="str">
        <f>IF(D159="","",VLOOKUP(D159,ORÇAMENTO!$B$7:$E$70,2,0))</f>
        <v>Esquadria de Alumínio</v>
      </c>
      <c r="F159" s="46" t="s">
        <v>30</v>
      </c>
      <c r="G159" s="46" t="s">
        <v>86</v>
      </c>
      <c r="H159" s="47">
        <v>1</v>
      </c>
      <c r="I159" s="48">
        <v>3.25</v>
      </c>
      <c r="J159" s="48">
        <v>1</v>
      </c>
      <c r="K159" s="49">
        <v>0.35</v>
      </c>
      <c r="L159" s="53">
        <f t="shared" si="8"/>
        <v>1.1375</v>
      </c>
    </row>
    <row r="160" spans="2:12" x14ac:dyDescent="0.2">
      <c r="B160" s="45" t="s">
        <v>13</v>
      </c>
      <c r="C160" s="46" t="str">
        <f>IF(B160="","",VLOOKUP(B160,ORÇAMENTO!$B$7:C391,2,0))</f>
        <v>ESQUADRIAS</v>
      </c>
      <c r="D160" s="46" t="s">
        <v>108</v>
      </c>
      <c r="E160" s="46" t="str">
        <f>IF(D160="","",VLOOKUP(D160,ORÇAMENTO!$B$7:$E$70,2,0))</f>
        <v>Esquadria de Alumínio</v>
      </c>
      <c r="F160" s="46" t="s">
        <v>30</v>
      </c>
      <c r="G160" s="46" t="s">
        <v>87</v>
      </c>
      <c r="H160" s="47">
        <v>1</v>
      </c>
      <c r="I160" s="48">
        <v>0.6</v>
      </c>
      <c r="J160" s="48">
        <v>1</v>
      </c>
      <c r="K160" s="49">
        <v>0.6</v>
      </c>
      <c r="L160" s="53">
        <f t="shared" si="8"/>
        <v>0.36</v>
      </c>
    </row>
    <row r="161" spans="2:12" x14ac:dyDescent="0.2">
      <c r="B161" s="45" t="s">
        <v>13</v>
      </c>
      <c r="C161" s="46" t="str">
        <f>IF(B161="","",VLOOKUP(B161,ORÇAMENTO!$B$7:C336,2,0))</f>
        <v>ESQUADRIAS</v>
      </c>
      <c r="D161" s="46" t="s">
        <v>109</v>
      </c>
      <c r="E161" s="46" t="e">
        <f>IF(D161="","",VLOOKUP(D161,ORÇAMENTO!$B$7:$E$70,2,0))</f>
        <v>#N/A</v>
      </c>
      <c r="F161" s="46" t="s">
        <v>232</v>
      </c>
      <c r="G161" s="59" t="s">
        <v>235</v>
      </c>
      <c r="H161" s="47">
        <v>1</v>
      </c>
      <c r="I161" s="48">
        <v>1</v>
      </c>
      <c r="J161" s="48">
        <v>1</v>
      </c>
      <c r="K161" s="49">
        <v>8</v>
      </c>
      <c r="L161" s="60">
        <f t="shared" si="8"/>
        <v>8</v>
      </c>
    </row>
    <row r="162" spans="2:12" x14ac:dyDescent="0.2">
      <c r="B162" s="45" t="s">
        <v>13</v>
      </c>
      <c r="C162" s="46" t="str">
        <f>IF(B162="","",VLOOKUP(B162,ORÇAMENTO!$B$7:C337,2,0))</f>
        <v>ESQUADRIAS</v>
      </c>
      <c r="D162" s="46" t="s">
        <v>109</v>
      </c>
      <c r="E162" s="46" t="e">
        <f>IF(D162="","",VLOOKUP(D162,ORÇAMENTO!$B$7:$E$70,2,0))</f>
        <v>#N/A</v>
      </c>
      <c r="F162" s="46" t="s">
        <v>232</v>
      </c>
      <c r="G162" s="59" t="s">
        <v>236</v>
      </c>
      <c r="H162" s="47">
        <v>1</v>
      </c>
      <c r="I162" s="48">
        <v>1</v>
      </c>
      <c r="J162" s="48">
        <v>1</v>
      </c>
      <c r="K162" s="49">
        <v>1</v>
      </c>
      <c r="L162" s="60">
        <f t="shared" si="8"/>
        <v>1</v>
      </c>
    </row>
    <row r="163" spans="2:12" x14ac:dyDescent="0.2">
      <c r="B163" s="45" t="s">
        <v>13</v>
      </c>
      <c r="C163" s="46" t="str">
        <f>IF(B163="","",VLOOKUP(B163,ORÇAMENTO!$B$7:C338,2,0))</f>
        <v>ESQUADRIAS</v>
      </c>
      <c r="D163" s="46" t="s">
        <v>109</v>
      </c>
      <c r="E163" s="46" t="e">
        <f>IF(D163="","",VLOOKUP(D163,ORÇAMENTO!$B$7:$E$70,2,0))</f>
        <v>#N/A</v>
      </c>
      <c r="F163" s="46" t="s">
        <v>232</v>
      </c>
      <c r="G163" s="59" t="s">
        <v>237</v>
      </c>
      <c r="H163" s="47">
        <v>1</v>
      </c>
      <c r="I163" s="48">
        <v>1</v>
      </c>
      <c r="J163" s="48">
        <v>1</v>
      </c>
      <c r="K163" s="49">
        <v>1</v>
      </c>
      <c r="L163" s="60">
        <f t="shared" si="8"/>
        <v>1</v>
      </c>
    </row>
    <row r="164" spans="2:12" x14ac:dyDescent="0.2">
      <c r="B164" s="45" t="s">
        <v>13</v>
      </c>
      <c r="C164" s="46" t="str">
        <f>IF(B164="","",VLOOKUP(B164,ORÇAMENTO!$B$7:C337,2,0))</f>
        <v>ESQUADRIAS</v>
      </c>
      <c r="D164" s="46" t="s">
        <v>109</v>
      </c>
      <c r="E164" s="46" t="e">
        <f>IF(D164="","",VLOOKUP(D164,ORÇAMENTO!$B$7:$E$70,2,0))</f>
        <v>#N/A</v>
      </c>
      <c r="F164" s="46" t="s">
        <v>31</v>
      </c>
      <c r="G164" s="46" t="s">
        <v>243</v>
      </c>
      <c r="H164" s="47">
        <v>2</v>
      </c>
      <c r="I164" s="48">
        <v>1</v>
      </c>
      <c r="J164" s="48">
        <v>1</v>
      </c>
      <c r="K164" s="49">
        <v>1</v>
      </c>
      <c r="L164" s="60">
        <f t="shared" si="8"/>
        <v>2</v>
      </c>
    </row>
    <row r="165" spans="2:12" x14ac:dyDescent="0.2">
      <c r="B165" s="45" t="s">
        <v>13</v>
      </c>
      <c r="C165" s="46" t="str">
        <f>IF(B165="","",VLOOKUP(B165,ORÇAMENTO!$B$7:C339,2,0))</f>
        <v>ESQUADRIAS</v>
      </c>
      <c r="D165" s="46" t="s">
        <v>109</v>
      </c>
      <c r="E165" s="46" t="e">
        <f>IF(D165="","",VLOOKUP(D165,ORÇAMENTO!$B$7:$E$70,2,0))</f>
        <v>#N/A</v>
      </c>
      <c r="F165" s="46" t="s">
        <v>31</v>
      </c>
      <c r="G165" s="46" t="s">
        <v>236</v>
      </c>
      <c r="H165" s="47">
        <v>1</v>
      </c>
      <c r="I165" s="48">
        <v>1</v>
      </c>
      <c r="J165" s="48">
        <v>1</v>
      </c>
      <c r="K165" s="49">
        <v>1</v>
      </c>
      <c r="L165" s="60">
        <f t="shared" si="8"/>
        <v>1</v>
      </c>
    </row>
    <row r="166" spans="2:12" x14ac:dyDescent="0.2">
      <c r="B166" s="45" t="s">
        <v>13</v>
      </c>
      <c r="C166" s="46" t="str">
        <f>IF(B166="","",VLOOKUP(B166,ORÇAMENTO!$B$7:C340,2,0))</f>
        <v>ESQUADRIAS</v>
      </c>
      <c r="D166" s="46" t="s">
        <v>109</v>
      </c>
      <c r="E166" s="46" t="e">
        <f>IF(D166="","",VLOOKUP(D166,ORÇAMENTO!$B$7:$E$70,2,0))</f>
        <v>#N/A</v>
      </c>
      <c r="F166" s="46" t="s">
        <v>31</v>
      </c>
      <c r="G166" s="46" t="s">
        <v>244</v>
      </c>
      <c r="H166" s="47">
        <v>1</v>
      </c>
      <c r="I166" s="48">
        <v>1</v>
      </c>
      <c r="J166" s="48">
        <v>1</v>
      </c>
      <c r="K166" s="49">
        <v>1</v>
      </c>
      <c r="L166" s="60">
        <f t="shared" si="8"/>
        <v>1</v>
      </c>
    </row>
    <row r="167" spans="2:12" x14ac:dyDescent="0.2">
      <c r="B167" s="45" t="s">
        <v>13</v>
      </c>
      <c r="C167" s="46" t="str">
        <f>IF(B167="","",VLOOKUP(B167,ORÇAMENTO!$B$7:C342,2,0))</f>
        <v>ESQUADRIAS</v>
      </c>
      <c r="D167" s="46" t="s">
        <v>109</v>
      </c>
      <c r="E167" s="46" t="e">
        <f>IF(D167="","",VLOOKUP(D167,ORÇAMENTO!$B$7:$E$70,2,0))</f>
        <v>#N/A</v>
      </c>
      <c r="F167" s="46" t="s">
        <v>28</v>
      </c>
      <c r="G167" s="46" t="s">
        <v>70</v>
      </c>
      <c r="H167" s="47">
        <v>3</v>
      </c>
      <c r="I167" s="48">
        <v>1</v>
      </c>
      <c r="J167" s="48">
        <v>1</v>
      </c>
      <c r="K167" s="49">
        <v>1</v>
      </c>
      <c r="L167" s="60">
        <f t="shared" si="8"/>
        <v>3</v>
      </c>
    </row>
    <row r="168" spans="2:12" x14ac:dyDescent="0.2">
      <c r="B168" s="45" t="s">
        <v>13</v>
      </c>
      <c r="C168" s="46" t="str">
        <f>IF(B168="","",VLOOKUP(B168,ORÇAMENTO!$B$7:C343,2,0))</f>
        <v>ESQUADRIAS</v>
      </c>
      <c r="D168" s="46" t="s">
        <v>109</v>
      </c>
      <c r="E168" s="46" t="e">
        <f>IF(D168="","",VLOOKUP(D168,ORÇAMENTO!$B$7:$E$70,2,0))</f>
        <v>#N/A</v>
      </c>
      <c r="F168" s="46" t="s">
        <v>28</v>
      </c>
      <c r="G168" s="46" t="s">
        <v>245</v>
      </c>
      <c r="H168" s="47">
        <v>4</v>
      </c>
      <c r="I168" s="48">
        <v>1</v>
      </c>
      <c r="J168" s="48">
        <v>1</v>
      </c>
      <c r="K168" s="49">
        <v>1</v>
      </c>
      <c r="L168" s="60">
        <f t="shared" si="8"/>
        <v>4</v>
      </c>
    </row>
    <row r="169" spans="2:12" x14ac:dyDescent="0.2">
      <c r="B169" s="45" t="s">
        <v>13</v>
      </c>
      <c r="C169" s="46" t="str">
        <f>IF(B169="","",VLOOKUP(B169,ORÇAMENTO!$B$7:C344,2,0))</f>
        <v>ESQUADRIAS</v>
      </c>
      <c r="D169" s="46" t="s">
        <v>109</v>
      </c>
      <c r="E169" s="46" t="e">
        <f>IF(D169="","",VLOOKUP(D169,ORÇAMENTO!$B$7:$E$70,2,0))</f>
        <v>#N/A</v>
      </c>
      <c r="F169" s="46" t="s">
        <v>28</v>
      </c>
      <c r="G169" s="46" t="s">
        <v>246</v>
      </c>
      <c r="H169" s="47">
        <v>4</v>
      </c>
      <c r="I169" s="48">
        <v>1</v>
      </c>
      <c r="J169" s="48">
        <v>1</v>
      </c>
      <c r="K169" s="49">
        <v>1</v>
      </c>
      <c r="L169" s="60">
        <f t="shared" si="8"/>
        <v>4</v>
      </c>
    </row>
    <row r="170" spans="2:12" x14ac:dyDescent="0.2">
      <c r="B170" s="45" t="s">
        <v>13</v>
      </c>
      <c r="C170" s="46" t="str">
        <f>IF(B170="","",VLOOKUP(B170,ORÇAMENTO!$B$7:C345,2,0))</f>
        <v>ESQUADRIAS</v>
      </c>
      <c r="D170" s="46" t="s">
        <v>109</v>
      </c>
      <c r="E170" s="46" t="e">
        <f>IF(D170="","",VLOOKUP(D170,ORÇAMENTO!$B$7:$E$70,2,0))</f>
        <v>#N/A</v>
      </c>
      <c r="F170" s="46" t="s">
        <v>28</v>
      </c>
      <c r="G170" s="46" t="s">
        <v>247</v>
      </c>
      <c r="H170" s="47">
        <v>2</v>
      </c>
      <c r="I170" s="48">
        <v>1</v>
      </c>
      <c r="J170" s="48">
        <v>1</v>
      </c>
      <c r="K170" s="49">
        <v>1</v>
      </c>
      <c r="L170" s="60">
        <f t="shared" si="8"/>
        <v>2</v>
      </c>
    </row>
    <row r="171" spans="2:12" x14ac:dyDescent="0.2">
      <c r="B171" s="45" t="s">
        <v>13</v>
      </c>
      <c r="C171" s="46" t="str">
        <f>IF(B171="","",VLOOKUP(B171,ORÇAMENTO!$B$7:C353,2,0))</f>
        <v>ESQUADRIAS</v>
      </c>
      <c r="D171" s="46" t="s">
        <v>109</v>
      </c>
      <c r="E171" s="46" t="e">
        <f>IF(D171="","",VLOOKUP(D171,ORÇAMENTO!$B$7:$E$70,2,0))</f>
        <v>#N/A</v>
      </c>
      <c r="F171" s="46" t="s">
        <v>29</v>
      </c>
      <c r="G171" s="46" t="s">
        <v>70</v>
      </c>
      <c r="H171" s="47">
        <f>5*5</f>
        <v>25</v>
      </c>
      <c r="I171" s="48">
        <v>1</v>
      </c>
      <c r="J171" s="48">
        <v>1</v>
      </c>
      <c r="K171" s="49">
        <v>1</v>
      </c>
      <c r="L171" s="60">
        <f t="shared" si="8"/>
        <v>25</v>
      </c>
    </row>
    <row r="172" spans="2:12" x14ac:dyDescent="0.2">
      <c r="B172" s="45" t="s">
        <v>13</v>
      </c>
      <c r="C172" s="46" t="str">
        <f>IF(B172="","",VLOOKUP(B172,ORÇAMENTO!$B$7:C354,2,0))</f>
        <v>ESQUADRIAS</v>
      </c>
      <c r="D172" s="46" t="s">
        <v>109</v>
      </c>
      <c r="E172" s="46" t="e">
        <f>IF(D172="","",VLOOKUP(D172,ORÇAMENTO!$B$7:$E$70,2,0))</f>
        <v>#N/A</v>
      </c>
      <c r="F172" s="46" t="s">
        <v>29</v>
      </c>
      <c r="G172" s="46" t="s">
        <v>245</v>
      </c>
      <c r="H172" s="47">
        <f>5*5</f>
        <v>25</v>
      </c>
      <c r="I172" s="48">
        <v>1</v>
      </c>
      <c r="J172" s="48">
        <v>1</v>
      </c>
      <c r="K172" s="49">
        <v>1</v>
      </c>
      <c r="L172" s="60">
        <f t="shared" si="8"/>
        <v>25</v>
      </c>
    </row>
    <row r="173" spans="2:12" x14ac:dyDescent="0.2">
      <c r="B173" s="45" t="s">
        <v>13</v>
      </c>
      <c r="C173" s="46" t="str">
        <f>IF(B173="","",VLOOKUP(B173,ORÇAMENTO!$B$7:C355,2,0))</f>
        <v>ESQUADRIAS</v>
      </c>
      <c r="D173" s="46" t="s">
        <v>109</v>
      </c>
      <c r="E173" s="46" t="e">
        <f>IF(D173="","",VLOOKUP(D173,ORÇAMENTO!$B$7:$E$70,2,0))</f>
        <v>#N/A</v>
      </c>
      <c r="F173" s="46" t="s">
        <v>29</v>
      </c>
      <c r="G173" s="46" t="s">
        <v>246</v>
      </c>
      <c r="H173" s="47">
        <f>4*5</f>
        <v>20</v>
      </c>
      <c r="I173" s="48">
        <v>1</v>
      </c>
      <c r="J173" s="48">
        <v>1</v>
      </c>
      <c r="K173" s="49">
        <v>1</v>
      </c>
      <c r="L173" s="60">
        <f t="shared" si="8"/>
        <v>20</v>
      </c>
    </row>
    <row r="174" spans="2:12" x14ac:dyDescent="0.2">
      <c r="B174" s="45" t="s">
        <v>13</v>
      </c>
      <c r="C174" s="46" t="str">
        <f>IF(B174="","",VLOOKUP(B174,ORÇAMENTO!$B$7:C368,2,0))</f>
        <v>ESQUADRIAS</v>
      </c>
      <c r="D174" s="46" t="s">
        <v>109</v>
      </c>
      <c r="E174" s="46" t="e">
        <f>IF(D174="","",VLOOKUP(D174,ORÇAMENTO!$B$7:$E$70,2,0))</f>
        <v>#N/A</v>
      </c>
      <c r="F174" s="46" t="s">
        <v>34</v>
      </c>
      <c r="G174" s="46" t="s">
        <v>70</v>
      </c>
      <c r="H174" s="47">
        <f>5</f>
        <v>5</v>
      </c>
      <c r="I174" s="48">
        <v>1</v>
      </c>
      <c r="J174" s="48">
        <v>1</v>
      </c>
      <c r="K174" s="49">
        <v>1</v>
      </c>
      <c r="L174" s="60">
        <f t="shared" si="8"/>
        <v>5</v>
      </c>
    </row>
    <row r="175" spans="2:12" x14ac:dyDescent="0.2">
      <c r="B175" s="45" t="s">
        <v>13</v>
      </c>
      <c r="C175" s="46" t="str">
        <f>IF(B175="","",VLOOKUP(B175,ORÇAMENTO!$B$7:C369,2,0))</f>
        <v>ESQUADRIAS</v>
      </c>
      <c r="D175" s="46" t="s">
        <v>109</v>
      </c>
      <c r="E175" s="46" t="e">
        <f>IF(D175="","",VLOOKUP(D175,ORÇAMENTO!$B$7:$E$70,2,0))</f>
        <v>#N/A</v>
      </c>
      <c r="F175" s="46" t="s">
        <v>34</v>
      </c>
      <c r="G175" s="46" t="s">
        <v>245</v>
      </c>
      <c r="H175" s="47">
        <f>5</f>
        <v>5</v>
      </c>
      <c r="I175" s="48">
        <v>1</v>
      </c>
      <c r="J175" s="48">
        <v>1</v>
      </c>
      <c r="K175" s="49">
        <v>1</v>
      </c>
      <c r="L175" s="60">
        <f t="shared" si="8"/>
        <v>5</v>
      </c>
    </row>
    <row r="176" spans="2:12" x14ac:dyDescent="0.2">
      <c r="B176" s="45" t="s">
        <v>13</v>
      </c>
      <c r="C176" s="46" t="str">
        <f>IF(B176="","",VLOOKUP(B176,ORÇAMENTO!$B$7:C370,2,0))</f>
        <v>ESQUADRIAS</v>
      </c>
      <c r="D176" s="46" t="s">
        <v>109</v>
      </c>
      <c r="E176" s="46" t="e">
        <f>IF(D176="","",VLOOKUP(D176,ORÇAMENTO!$B$7:$E$70,2,0))</f>
        <v>#N/A</v>
      </c>
      <c r="F176" s="46" t="s">
        <v>34</v>
      </c>
      <c r="G176" s="46" t="s">
        <v>246</v>
      </c>
      <c r="H176" s="47">
        <f>4</f>
        <v>4</v>
      </c>
      <c r="I176" s="48">
        <v>1</v>
      </c>
      <c r="J176" s="48">
        <v>1</v>
      </c>
      <c r="K176" s="49">
        <v>1</v>
      </c>
      <c r="L176" s="60">
        <f t="shared" si="8"/>
        <v>4</v>
      </c>
    </row>
    <row r="177" spans="2:12" x14ac:dyDescent="0.2">
      <c r="B177" s="45" t="s">
        <v>13</v>
      </c>
      <c r="C177" s="46" t="str">
        <f>IF(B177="","",VLOOKUP(B177,ORÇAMENTO!$B$7:C371,2,0))</f>
        <v>ESQUADRIAS</v>
      </c>
      <c r="D177" s="46" t="s">
        <v>109</v>
      </c>
      <c r="E177" s="46" t="e">
        <f>IF(D177="","",VLOOKUP(D177,ORÇAMENTO!$B$7:$E$70,2,0))</f>
        <v>#N/A</v>
      </c>
      <c r="F177" s="46" t="s">
        <v>34</v>
      </c>
      <c r="G177" s="46" t="s">
        <v>81</v>
      </c>
      <c r="H177" s="47">
        <v>1</v>
      </c>
      <c r="I177" s="48">
        <v>1.8</v>
      </c>
      <c r="J177" s="48">
        <v>0.6</v>
      </c>
      <c r="K177" s="49">
        <v>1</v>
      </c>
      <c r="L177" s="61">
        <f t="shared" si="8"/>
        <v>1.08</v>
      </c>
    </row>
    <row r="178" spans="2:12" x14ac:dyDescent="0.2">
      <c r="B178" s="45" t="s">
        <v>13</v>
      </c>
      <c r="C178" s="46" t="str">
        <f>IF(B178="","",VLOOKUP(B178,ORÇAMENTO!$B$7:C372,2,0))</f>
        <v>ESQUADRIAS</v>
      </c>
      <c r="D178" s="46" t="s">
        <v>109</v>
      </c>
      <c r="E178" s="46" t="e">
        <f>IF(D178="","",VLOOKUP(D178,ORÇAMENTO!$B$7:$E$70,2,0))</f>
        <v>#N/A</v>
      </c>
      <c r="F178" s="46" t="s">
        <v>34</v>
      </c>
      <c r="G178" s="46" t="s">
        <v>82</v>
      </c>
      <c r="H178" s="47">
        <v>2</v>
      </c>
      <c r="I178" s="48">
        <v>1.2</v>
      </c>
      <c r="J178" s="48">
        <v>0.6</v>
      </c>
      <c r="K178" s="49">
        <v>1</v>
      </c>
      <c r="L178" s="61">
        <f t="shared" si="8"/>
        <v>1.44</v>
      </c>
    </row>
    <row r="179" spans="2:12" x14ac:dyDescent="0.2">
      <c r="B179" s="45" t="s">
        <v>13</v>
      </c>
      <c r="C179" s="46" t="str">
        <f>IF(B179="","",VLOOKUP(B179,ORÇAMENTO!$B$7:C382,2,0))</f>
        <v>ESQUADRIAS</v>
      </c>
      <c r="D179" s="46" t="s">
        <v>109</v>
      </c>
      <c r="E179" s="46" t="e">
        <f>IF(D179="","",VLOOKUP(D179,ORÇAMENTO!$B$7:$E$70,2,0))</f>
        <v>#N/A</v>
      </c>
      <c r="F179" s="46" t="s">
        <v>15</v>
      </c>
      <c r="G179" s="46" t="s">
        <v>245</v>
      </c>
      <c r="H179" s="47">
        <v>1</v>
      </c>
      <c r="I179" s="48">
        <v>1</v>
      </c>
      <c r="J179" s="48">
        <v>1</v>
      </c>
      <c r="K179" s="49">
        <v>1</v>
      </c>
      <c r="L179" s="60">
        <f t="shared" si="8"/>
        <v>1</v>
      </c>
    </row>
    <row r="180" spans="2:12" x14ac:dyDescent="0.2">
      <c r="B180" s="45" t="s">
        <v>13</v>
      </c>
      <c r="C180" s="46" t="str">
        <f>IF(B180="","",VLOOKUP(B180,ORÇAMENTO!$B$7:C383,2,0))</f>
        <v>ESQUADRIAS</v>
      </c>
      <c r="D180" s="46" t="s">
        <v>109</v>
      </c>
      <c r="E180" s="46" t="e">
        <f>IF(D180="","",VLOOKUP(D180,ORÇAMENTO!$B$7:$E$70,2,0))</f>
        <v>#N/A</v>
      </c>
      <c r="F180" s="46" t="s">
        <v>15</v>
      </c>
      <c r="G180" s="46" t="s">
        <v>246</v>
      </c>
      <c r="H180" s="47">
        <v>1</v>
      </c>
      <c r="I180" s="48">
        <v>1</v>
      </c>
      <c r="J180" s="48">
        <v>1</v>
      </c>
      <c r="K180" s="49">
        <v>1</v>
      </c>
      <c r="L180" s="60">
        <f t="shared" si="8"/>
        <v>1</v>
      </c>
    </row>
    <row r="181" spans="2:12" x14ac:dyDescent="0.2">
      <c r="B181" s="45" t="s">
        <v>13</v>
      </c>
      <c r="C181" s="46" t="str">
        <f>IF(B181="","",VLOOKUP(B181,ORÇAMENTO!$B$7:C384,2,0))</f>
        <v>ESQUADRIAS</v>
      </c>
      <c r="D181" s="46" t="s">
        <v>109</v>
      </c>
      <c r="E181" s="46" t="e">
        <f>IF(D181="","",VLOOKUP(D181,ORÇAMENTO!$B$7:$E$70,2,0))</f>
        <v>#N/A</v>
      </c>
      <c r="F181" s="46" t="s">
        <v>15</v>
      </c>
      <c r="G181" s="46" t="s">
        <v>250</v>
      </c>
      <c r="H181" s="47">
        <v>1</v>
      </c>
      <c r="I181" s="48">
        <v>1</v>
      </c>
      <c r="J181" s="48">
        <v>1</v>
      </c>
      <c r="K181" s="49">
        <v>1</v>
      </c>
      <c r="L181" s="60">
        <f t="shared" si="8"/>
        <v>1</v>
      </c>
    </row>
    <row r="182" spans="2:12" x14ac:dyDescent="0.2">
      <c r="B182" s="45" t="s">
        <v>13</v>
      </c>
      <c r="C182" s="46" t="str">
        <f>IF(B182="","",VLOOKUP(B182,ORÇAMENTO!$B$7:C385,2,0))</f>
        <v>ESQUADRIAS</v>
      </c>
      <c r="D182" s="46" t="s">
        <v>109</v>
      </c>
      <c r="E182" s="46" t="e">
        <f>IF(D182="","",VLOOKUP(D182,ORÇAMENTO!$B$7:$E$70,2,0))</f>
        <v>#N/A</v>
      </c>
      <c r="F182" s="46" t="s">
        <v>15</v>
      </c>
      <c r="G182" s="46" t="s">
        <v>251</v>
      </c>
      <c r="H182" s="47">
        <v>1</v>
      </c>
      <c r="I182" s="48">
        <v>1</v>
      </c>
      <c r="J182" s="48">
        <v>1</v>
      </c>
      <c r="K182" s="49">
        <v>1</v>
      </c>
      <c r="L182" s="60">
        <f t="shared" si="8"/>
        <v>1</v>
      </c>
    </row>
    <row r="183" spans="2:12" x14ac:dyDescent="0.2">
      <c r="B183" s="45" t="s">
        <v>13</v>
      </c>
      <c r="C183" s="46" t="str">
        <f>IF(B183="","",VLOOKUP(B183,ORÇAMENTO!$B$7:C388,2,0))</f>
        <v>ESQUADRIAS</v>
      </c>
      <c r="D183" s="46" t="s">
        <v>109</v>
      </c>
      <c r="E183" s="46" t="e">
        <f>IF(D183="","",VLOOKUP(D183,ORÇAMENTO!$B$7:$E$70,2,0))</f>
        <v>#N/A</v>
      </c>
      <c r="F183" s="46" t="s">
        <v>30</v>
      </c>
      <c r="G183" s="46" t="s">
        <v>72</v>
      </c>
      <c r="H183" s="47">
        <v>1</v>
      </c>
      <c r="I183" s="48">
        <v>1</v>
      </c>
      <c r="J183" s="48">
        <v>1</v>
      </c>
      <c r="K183" s="49">
        <v>1</v>
      </c>
      <c r="L183" s="60">
        <f t="shared" si="8"/>
        <v>1</v>
      </c>
    </row>
    <row r="184" spans="2:12" x14ac:dyDescent="0.2">
      <c r="B184" s="45" t="s">
        <v>13</v>
      </c>
      <c r="C184" s="46" t="str">
        <f>IF(B184="","",VLOOKUP(B184,ORÇAMENTO!$B$7:C389,2,0))</f>
        <v>ESQUADRIAS</v>
      </c>
      <c r="D184" s="46" t="s">
        <v>109</v>
      </c>
      <c r="E184" s="46" t="e">
        <f>IF(D184="","",VLOOKUP(D184,ORÇAMENTO!$B$7:$E$70,2,0))</f>
        <v>#N/A</v>
      </c>
      <c r="F184" s="46" t="s">
        <v>30</v>
      </c>
      <c r="G184" s="46" t="s">
        <v>73</v>
      </c>
      <c r="H184" s="47">
        <v>1</v>
      </c>
      <c r="I184" s="48">
        <v>1</v>
      </c>
      <c r="J184" s="48">
        <v>1</v>
      </c>
      <c r="K184" s="49">
        <v>1</v>
      </c>
      <c r="L184" s="60">
        <f t="shared" si="8"/>
        <v>1</v>
      </c>
    </row>
    <row r="185" spans="2:12" x14ac:dyDescent="0.2">
      <c r="B185" s="36" t="s">
        <v>14</v>
      </c>
      <c r="C185" s="37" t="str">
        <f>IF(B185="","",VLOOKUP(B185,ORÇAMENTO!$B$7:C329,2,0))</f>
        <v>IMPERMEABILIZAÇÃO</v>
      </c>
      <c r="D185" s="37" t="s">
        <v>110</v>
      </c>
      <c r="E185" s="37" t="str">
        <f>IF(D185="","",VLOOKUP(D185,ORÇAMENTO!$B$7:$E$70,2,0))</f>
        <v>Manta Asfáltica</v>
      </c>
      <c r="F185" s="37" t="s">
        <v>258</v>
      </c>
      <c r="G185" s="62" t="s">
        <v>259</v>
      </c>
      <c r="H185" s="58">
        <v>1</v>
      </c>
      <c r="I185" s="40">
        <v>1</v>
      </c>
      <c r="J185" s="40">
        <v>1</v>
      </c>
      <c r="K185" s="41">
        <v>311.88</v>
      </c>
      <c r="L185" s="42">
        <f t="shared" si="8"/>
        <v>311.88</v>
      </c>
    </row>
    <row r="186" spans="2:12" x14ac:dyDescent="0.2">
      <c r="B186" s="36" t="s">
        <v>14</v>
      </c>
      <c r="C186" s="37" t="str">
        <f>IF(B186="","",VLOOKUP(B186,ORÇAMENTO!$B$7:C330,2,0))</f>
        <v>IMPERMEABILIZAÇÃO</v>
      </c>
      <c r="D186" s="37" t="s">
        <v>110</v>
      </c>
      <c r="E186" s="37" t="str">
        <f>IF(D186="","",VLOOKUP(D186,ORÇAMENTO!$B$7:$E$70,2,0))</f>
        <v>Manta Asfáltica</v>
      </c>
      <c r="F186" s="37" t="s">
        <v>31</v>
      </c>
      <c r="G186" s="62"/>
      <c r="H186" s="58">
        <v>1</v>
      </c>
      <c r="I186" s="40">
        <v>1</v>
      </c>
      <c r="J186" s="40">
        <v>1</v>
      </c>
      <c r="K186" s="41">
        <v>219.38</v>
      </c>
      <c r="L186" s="42">
        <f t="shared" si="8"/>
        <v>219.38</v>
      </c>
    </row>
    <row r="187" spans="2:12" x14ac:dyDescent="0.2">
      <c r="B187" s="36" t="s">
        <v>14</v>
      </c>
      <c r="C187" s="37" t="str">
        <f>IF(B187="","",VLOOKUP(B187,ORÇAMENTO!$B$7:C335,2,0))</f>
        <v>IMPERMEABILIZAÇÃO</v>
      </c>
      <c r="D187" s="37" t="s">
        <v>110</v>
      </c>
      <c r="E187" s="37" t="str">
        <f>IF(D187="","",VLOOKUP(D187,ORÇAMENTO!$B$7:$E$70,2,0))</f>
        <v>Manta Asfáltica</v>
      </c>
      <c r="F187" s="37" t="s">
        <v>15</v>
      </c>
      <c r="G187" s="62"/>
      <c r="H187" s="58">
        <v>1</v>
      </c>
      <c r="I187" s="40">
        <v>1</v>
      </c>
      <c r="J187" s="40">
        <v>1</v>
      </c>
      <c r="K187" s="41">
        <v>172.33</v>
      </c>
      <c r="L187" s="42">
        <f t="shared" si="8"/>
        <v>172.33</v>
      </c>
    </row>
    <row r="188" spans="2:12" x14ac:dyDescent="0.2">
      <c r="B188" s="36" t="s">
        <v>14</v>
      </c>
      <c r="C188" s="37" t="str">
        <f>IF(B188="","",VLOOKUP(B188,ORÇAMENTO!$B$7:C336,2,0))</f>
        <v>IMPERMEABILIZAÇÃO</v>
      </c>
      <c r="D188" s="37" t="s">
        <v>110</v>
      </c>
      <c r="E188" s="37" t="str">
        <f>IF(D188="","",VLOOKUP(D188,ORÇAMENTO!$B$7:$E$70,2,0))</f>
        <v>Manta Asfáltica</v>
      </c>
      <c r="F188" s="37" t="s">
        <v>30</v>
      </c>
      <c r="G188" s="62"/>
      <c r="H188" s="58">
        <v>1</v>
      </c>
      <c r="I188" s="40">
        <v>1</v>
      </c>
      <c r="J188" s="40">
        <v>1</v>
      </c>
      <c r="K188" s="41">
        <v>42.74</v>
      </c>
      <c r="L188" s="42">
        <f>H188*I188*J188*K188</f>
        <v>42.74</v>
      </c>
    </row>
    <row r="189" spans="2:12" x14ac:dyDescent="0.2">
      <c r="B189" s="36" t="s">
        <v>14</v>
      </c>
      <c r="C189" s="37" t="str">
        <f>IF(B189="","",VLOOKUP(B189,ORÇAMENTO!$B$7:C331,2,0))</f>
        <v>IMPERMEABILIZAÇÃO</v>
      </c>
      <c r="D189" s="37" t="s">
        <v>111</v>
      </c>
      <c r="E189" s="37" t="e">
        <f>IF(D189="","",VLOOKUP(D189,ORÇAMENTO!$B$7:$E$70,2,0))</f>
        <v>#N/A</v>
      </c>
      <c r="F189" s="37" t="s">
        <v>31</v>
      </c>
      <c r="G189" s="62"/>
      <c r="H189" s="58">
        <v>1</v>
      </c>
      <c r="I189" s="40">
        <v>1</v>
      </c>
      <c r="J189" s="40">
        <v>1</v>
      </c>
      <c r="K189" s="41">
        <v>4.1399999999999997</v>
      </c>
      <c r="L189" s="42">
        <f>H189*I189*J189*K189</f>
        <v>4.1399999999999997</v>
      </c>
    </row>
    <row r="190" spans="2:12" x14ac:dyDescent="0.2">
      <c r="B190" s="36" t="s">
        <v>14</v>
      </c>
      <c r="C190" s="37" t="str">
        <f>IF(B190="","",VLOOKUP(B190,ORÇAMENTO!$B$7:C332,2,0))</f>
        <v>IMPERMEABILIZAÇÃO</v>
      </c>
      <c r="D190" s="37" t="s">
        <v>111</v>
      </c>
      <c r="E190" s="37" t="e">
        <f>IF(D190="","",VLOOKUP(D190,ORÇAMENTO!$B$7:$E$70,2,0))</f>
        <v>#N/A</v>
      </c>
      <c r="F190" s="37" t="s">
        <v>29</v>
      </c>
      <c r="G190" s="62"/>
      <c r="H190" s="58">
        <v>5</v>
      </c>
      <c r="I190" s="40">
        <v>1</v>
      </c>
      <c r="J190" s="40">
        <v>1</v>
      </c>
      <c r="K190" s="41">
        <v>72.569999999999993</v>
      </c>
      <c r="L190" s="42">
        <f>H190*I190*J190*K190</f>
        <v>362.84999999999997</v>
      </c>
    </row>
    <row r="191" spans="2:12" x14ac:dyDescent="0.2">
      <c r="B191" s="36" t="s">
        <v>14</v>
      </c>
      <c r="C191" s="37" t="str">
        <f>IF(B191="","",VLOOKUP(B191,ORÇAMENTO!$B$7:C333,2,0))</f>
        <v>IMPERMEABILIZAÇÃO</v>
      </c>
      <c r="D191" s="37" t="s">
        <v>111</v>
      </c>
      <c r="E191" s="37" t="e">
        <f>IF(D191="","",VLOOKUP(D191,ORÇAMENTO!$B$7:$E$70,2,0))</f>
        <v>#N/A</v>
      </c>
      <c r="F191" s="37" t="s">
        <v>34</v>
      </c>
      <c r="G191" s="62"/>
      <c r="H191" s="58">
        <v>1</v>
      </c>
      <c r="I191" s="40">
        <v>1</v>
      </c>
      <c r="J191" s="40">
        <v>1</v>
      </c>
      <c r="K191" s="41">
        <v>71.97</v>
      </c>
      <c r="L191" s="42">
        <f>H191*I191*J191*K191</f>
        <v>71.97</v>
      </c>
    </row>
    <row r="192" spans="2:12" x14ac:dyDescent="0.2">
      <c r="B192" s="45" t="s">
        <v>16</v>
      </c>
      <c r="C192" s="46" t="str">
        <f>IF(B192="","",VLOOKUP(B192,ORÇAMENTO!$B$7:C124,2,0))</f>
        <v>FORRO E SANCA EM GESSO</v>
      </c>
      <c r="D192" s="46" t="s">
        <v>112</v>
      </c>
      <c r="E192" s="46" t="str">
        <f>IF(D192="","",VLOOKUP(D192,ORÇAMENTO!$B$7:$E$70,2,0))</f>
        <v>Forro de Gesso</v>
      </c>
      <c r="F192" s="46" t="s">
        <v>232</v>
      </c>
      <c r="G192" s="63"/>
      <c r="H192" s="47">
        <v>2</v>
      </c>
      <c r="I192" s="48"/>
      <c r="J192" s="48">
        <v>30.36</v>
      </c>
      <c r="K192" s="49">
        <v>2.8</v>
      </c>
      <c r="L192" s="53">
        <f>K192*J192*H192</f>
        <v>170.01599999999999</v>
      </c>
    </row>
    <row r="193" spans="2:12" x14ac:dyDescent="0.2">
      <c r="B193" s="45" t="s">
        <v>16</v>
      </c>
      <c r="C193" s="46" t="str">
        <f>IF(B193="","",VLOOKUP(B193,ORÇAMENTO!$B$7:C125,2,0))</f>
        <v>FORRO E SANCA EM GESSO</v>
      </c>
      <c r="D193" s="46" t="s">
        <v>112</v>
      </c>
      <c r="E193" s="46" t="str">
        <f>IF(D193="","",VLOOKUP(D193,ORÇAMENTO!$B$7:$E$70,2,0))</f>
        <v>Forro de Gesso</v>
      </c>
      <c r="F193" s="46" t="s">
        <v>232</v>
      </c>
      <c r="G193" s="63"/>
      <c r="H193" s="47">
        <v>2</v>
      </c>
      <c r="I193" s="48"/>
      <c r="J193" s="48">
        <v>12.93</v>
      </c>
      <c r="K193" s="49">
        <v>1</v>
      </c>
      <c r="L193" s="53">
        <f>K193*J193*H193</f>
        <v>25.86</v>
      </c>
    </row>
    <row r="194" spans="2:12" x14ac:dyDescent="0.2">
      <c r="B194" s="45" t="s">
        <v>16</v>
      </c>
      <c r="C194" s="46" t="str">
        <f>IF(B194="","",VLOOKUP(B194,ORÇAMENTO!$B$7:C126,2,0))</f>
        <v>FORRO E SANCA EM GESSO</v>
      </c>
      <c r="D194" s="46" t="s">
        <v>112</v>
      </c>
      <c r="E194" s="46" t="str">
        <f>IF(D194="","",VLOOKUP(D194,ORÇAMENTO!$B$7:$E$70,2,0))</f>
        <v>Forro de Gesso</v>
      </c>
      <c r="F194" s="46" t="s">
        <v>232</v>
      </c>
      <c r="G194" s="63"/>
      <c r="H194" s="47">
        <v>2</v>
      </c>
      <c r="I194" s="48"/>
      <c r="J194" s="48">
        <v>1.75</v>
      </c>
      <c r="K194" s="49">
        <v>0.1</v>
      </c>
      <c r="L194" s="53">
        <f>K194*J194*H194</f>
        <v>0.35000000000000003</v>
      </c>
    </row>
    <row r="195" spans="2:12" x14ac:dyDescent="0.2">
      <c r="B195" s="45" t="s">
        <v>16</v>
      </c>
      <c r="C195" s="46" t="str">
        <f>IF(B195="","",VLOOKUP(B195,ORÇAMENTO!$B$7:C121,2,0))</f>
        <v>FORRO E SANCA EM GESSO</v>
      </c>
      <c r="D195" s="46" t="s">
        <v>112</v>
      </c>
      <c r="E195" s="46" t="str">
        <f>IF(D195="","",VLOOKUP(D195,ORÇAMENTO!$B$7:$E$70,2,0))</f>
        <v>Forro de Gesso</v>
      </c>
      <c r="F195" s="46" t="s">
        <v>31</v>
      </c>
      <c r="G195" s="63"/>
      <c r="H195" s="47">
        <v>2</v>
      </c>
      <c r="I195" s="48">
        <v>50.17</v>
      </c>
      <c r="J195" s="48">
        <v>1</v>
      </c>
      <c r="K195" s="49">
        <v>2.8</v>
      </c>
      <c r="L195" s="53">
        <f t="shared" ref="L195:L212" si="9">H195*I195*J195*K195</f>
        <v>280.952</v>
      </c>
    </row>
    <row r="196" spans="2:12" x14ac:dyDescent="0.2">
      <c r="B196" s="45" t="s">
        <v>16</v>
      </c>
      <c r="C196" s="46" t="str">
        <f>IF(B196="","",VLOOKUP(B196,ORÇAMENTO!$B$7:C122,2,0))</f>
        <v>FORRO E SANCA EM GESSO</v>
      </c>
      <c r="D196" s="46" t="s">
        <v>112</v>
      </c>
      <c r="E196" s="46" t="str">
        <f>IF(D196="","",VLOOKUP(D196,ORÇAMENTO!$B$7:$E$70,2,0))</f>
        <v>Forro de Gesso</v>
      </c>
      <c r="F196" s="46" t="s">
        <v>31</v>
      </c>
      <c r="G196" s="63"/>
      <c r="H196" s="47">
        <v>2</v>
      </c>
      <c r="I196" s="48">
        <v>7.39</v>
      </c>
      <c r="J196" s="48">
        <v>1</v>
      </c>
      <c r="K196" s="49">
        <v>1</v>
      </c>
      <c r="L196" s="53">
        <f t="shared" si="9"/>
        <v>14.78</v>
      </c>
    </row>
    <row r="197" spans="2:12" x14ac:dyDescent="0.2">
      <c r="B197" s="45" t="s">
        <v>16</v>
      </c>
      <c r="C197" s="46" t="str">
        <f>IF(B197="","",VLOOKUP(B197,ORÇAMENTO!$B$7:C126,2,0))</f>
        <v>FORRO E SANCA EM GESSO</v>
      </c>
      <c r="D197" s="46" t="s">
        <v>112</v>
      </c>
      <c r="E197" s="46" t="str">
        <f>IF(D197="","",VLOOKUP(D197,ORÇAMENTO!$B$7:$E$70,2,0))</f>
        <v>Forro de Gesso</v>
      </c>
      <c r="F197" s="46" t="s">
        <v>28</v>
      </c>
      <c r="G197" s="63"/>
      <c r="H197" s="47">
        <v>1</v>
      </c>
      <c r="I197" s="48">
        <v>190.48</v>
      </c>
      <c r="J197" s="48">
        <v>1</v>
      </c>
      <c r="K197" s="49">
        <v>2.8</v>
      </c>
      <c r="L197" s="53">
        <f t="shared" si="9"/>
        <v>533.34399999999994</v>
      </c>
    </row>
    <row r="198" spans="2:12" x14ac:dyDescent="0.2">
      <c r="B198" s="45" t="s">
        <v>16</v>
      </c>
      <c r="C198" s="46" t="str">
        <f>IF(B198="","",VLOOKUP(B198,ORÇAMENTO!$B$7:C128,2,0))</f>
        <v>FORRO E SANCA EM GESSO</v>
      </c>
      <c r="D198" s="46" t="s">
        <v>112</v>
      </c>
      <c r="E198" s="46" t="str">
        <f>IF(D198="","",VLOOKUP(D198,ORÇAMENTO!$B$7:$E$70,2,0))</f>
        <v>Forro de Gesso</v>
      </c>
      <c r="F198" s="46" t="s">
        <v>28</v>
      </c>
      <c r="G198" s="63"/>
      <c r="H198" s="47">
        <v>1</v>
      </c>
      <c r="I198" s="48">
        <v>36.85</v>
      </c>
      <c r="J198" s="48">
        <v>1</v>
      </c>
      <c r="K198" s="49">
        <v>1.8</v>
      </c>
      <c r="L198" s="53">
        <f t="shared" si="9"/>
        <v>66.33</v>
      </c>
    </row>
    <row r="199" spans="2:12" x14ac:dyDescent="0.2">
      <c r="B199" s="45" t="s">
        <v>16</v>
      </c>
      <c r="C199" s="46" t="str">
        <f>IF(B199="","",VLOOKUP(B199,ORÇAMENTO!$B$7:C129,2,0))</f>
        <v>FORRO E SANCA EM GESSO</v>
      </c>
      <c r="D199" s="46" t="s">
        <v>112</v>
      </c>
      <c r="E199" s="46" t="str">
        <f>IF(D199="","",VLOOKUP(D199,ORÇAMENTO!$B$7:$E$70,2,0))</f>
        <v>Forro de Gesso</v>
      </c>
      <c r="F199" s="46" t="s">
        <v>28</v>
      </c>
      <c r="G199" s="63"/>
      <c r="H199" s="47">
        <v>1</v>
      </c>
      <c r="I199" s="48">
        <v>9.8699999999999992</v>
      </c>
      <c r="J199" s="48">
        <v>1</v>
      </c>
      <c r="K199" s="49">
        <v>1</v>
      </c>
      <c r="L199" s="53">
        <f t="shared" si="9"/>
        <v>9.8699999999999992</v>
      </c>
    </row>
    <row r="200" spans="2:12" x14ac:dyDescent="0.2">
      <c r="B200" s="45" t="s">
        <v>16</v>
      </c>
      <c r="C200" s="46" t="str">
        <f>IF(B200="","",VLOOKUP(B200,ORÇAMENTO!$B$7:C130,2,0))</f>
        <v>FORRO E SANCA EM GESSO</v>
      </c>
      <c r="D200" s="46" t="s">
        <v>112</v>
      </c>
      <c r="E200" s="46" t="str">
        <f>IF(D200="","",VLOOKUP(D200,ORÇAMENTO!$B$7:$E$70,2,0))</f>
        <v>Forro de Gesso</v>
      </c>
      <c r="F200" s="46" t="s">
        <v>29</v>
      </c>
      <c r="G200" s="63"/>
      <c r="H200" s="47">
        <v>5</v>
      </c>
      <c r="I200" s="48">
        <v>213.72</v>
      </c>
      <c r="J200" s="48">
        <v>1</v>
      </c>
      <c r="K200" s="49">
        <v>2.6</v>
      </c>
      <c r="L200" s="53">
        <f t="shared" si="9"/>
        <v>2778.3599999999997</v>
      </c>
    </row>
    <row r="201" spans="2:12" x14ac:dyDescent="0.2">
      <c r="B201" s="45" t="s">
        <v>16</v>
      </c>
      <c r="C201" s="46" t="str">
        <f>IF(B201="","",VLOOKUP(B201,ORÇAMENTO!$B$7:C131,2,0))</f>
        <v>FORRO E SANCA EM GESSO</v>
      </c>
      <c r="D201" s="46" t="s">
        <v>112</v>
      </c>
      <c r="E201" s="46" t="str">
        <f>IF(D201="","",VLOOKUP(D201,ORÇAMENTO!$B$7:$E$70,2,0))</f>
        <v>Forro de Gesso</v>
      </c>
      <c r="F201" s="46" t="s">
        <v>29</v>
      </c>
      <c r="G201" s="63"/>
      <c r="H201" s="47">
        <v>5</v>
      </c>
      <c r="I201" s="48">
        <v>22.85</v>
      </c>
      <c r="J201" s="48">
        <v>1</v>
      </c>
      <c r="K201" s="49">
        <v>1</v>
      </c>
      <c r="L201" s="53">
        <f t="shared" si="9"/>
        <v>114.25</v>
      </c>
    </row>
    <row r="202" spans="2:12" x14ac:dyDescent="0.2">
      <c r="B202" s="45" t="s">
        <v>16</v>
      </c>
      <c r="C202" s="46" t="str">
        <f>IF(B202="","",VLOOKUP(B202,ORÇAMENTO!$B$7:C133,2,0))</f>
        <v>FORRO E SANCA EM GESSO</v>
      </c>
      <c r="D202" s="46" t="s">
        <v>112</v>
      </c>
      <c r="E202" s="46" t="str">
        <f>IF(D202="","",VLOOKUP(D202,ORÇAMENTO!$B$7:$E$70,2,0))</f>
        <v>Forro de Gesso</v>
      </c>
      <c r="F202" s="46" t="s">
        <v>34</v>
      </c>
      <c r="G202" s="63"/>
      <c r="H202" s="47">
        <v>1</v>
      </c>
      <c r="I202" s="48">
        <v>219.36</v>
      </c>
      <c r="J202" s="48">
        <v>1</v>
      </c>
      <c r="K202" s="49">
        <v>2.6</v>
      </c>
      <c r="L202" s="53">
        <f t="shared" si="9"/>
        <v>570.33600000000001</v>
      </c>
    </row>
    <row r="203" spans="2:12" x14ac:dyDescent="0.2">
      <c r="B203" s="45" t="s">
        <v>16</v>
      </c>
      <c r="C203" s="46" t="str">
        <f>IF(B203="","",VLOOKUP(B203,ORÇAMENTO!$B$7:C134,2,0))</f>
        <v>FORRO E SANCA EM GESSO</v>
      </c>
      <c r="D203" s="46" t="s">
        <v>112</v>
      </c>
      <c r="E203" s="46" t="str">
        <f>IF(D203="","",VLOOKUP(D203,ORÇAMENTO!$B$7:$E$70,2,0))</f>
        <v>Forro de Gesso</v>
      </c>
      <c r="F203" s="46" t="s">
        <v>34</v>
      </c>
      <c r="G203" s="63"/>
      <c r="H203" s="47">
        <v>1</v>
      </c>
      <c r="I203" s="48">
        <v>22.85</v>
      </c>
      <c r="J203" s="48">
        <v>1</v>
      </c>
      <c r="K203" s="49">
        <v>1</v>
      </c>
      <c r="L203" s="53">
        <f t="shared" si="9"/>
        <v>22.85</v>
      </c>
    </row>
    <row r="204" spans="2:12" x14ac:dyDescent="0.2">
      <c r="B204" s="45" t="s">
        <v>16</v>
      </c>
      <c r="C204" s="46" t="str">
        <f>IF(B204="","",VLOOKUP(B204,ORÇAMENTO!$B$7:C136,2,0))</f>
        <v>FORRO E SANCA EM GESSO</v>
      </c>
      <c r="D204" s="46" t="s">
        <v>112</v>
      </c>
      <c r="E204" s="46" t="str">
        <f>IF(D204="","",VLOOKUP(D204,ORÇAMENTO!$B$7:$E$70,2,0))</f>
        <v>Forro de Gesso</v>
      </c>
      <c r="F204" s="46" t="s">
        <v>15</v>
      </c>
      <c r="G204" s="63"/>
      <c r="H204" s="47">
        <v>1</v>
      </c>
      <c r="I204" s="48">
        <v>2.38</v>
      </c>
      <c r="J204" s="48">
        <v>1</v>
      </c>
      <c r="K204" s="49">
        <v>2.8</v>
      </c>
      <c r="L204" s="53">
        <f t="shared" si="9"/>
        <v>6.6639999999999997</v>
      </c>
    </row>
    <row r="205" spans="2:12" x14ac:dyDescent="0.2">
      <c r="B205" s="45" t="s">
        <v>16</v>
      </c>
      <c r="C205" s="46" t="str">
        <f>IF(B205="","",VLOOKUP(B205,ORÇAMENTO!$B$7:C137,2,0))</f>
        <v>FORRO E SANCA EM GESSO</v>
      </c>
      <c r="D205" s="46" t="s">
        <v>112</v>
      </c>
      <c r="E205" s="46" t="str">
        <f>IF(D205="","",VLOOKUP(D205,ORÇAMENTO!$B$7:$E$70,2,0))</f>
        <v>Forro de Gesso</v>
      </c>
      <c r="F205" s="46" t="s">
        <v>15</v>
      </c>
      <c r="G205" s="63"/>
      <c r="H205" s="47">
        <v>1</v>
      </c>
      <c r="I205" s="48">
        <v>2.08</v>
      </c>
      <c r="J205" s="48">
        <v>1</v>
      </c>
      <c r="K205" s="49">
        <v>2.2999999999999998</v>
      </c>
      <c r="L205" s="53">
        <f t="shared" si="9"/>
        <v>4.7839999999999998</v>
      </c>
    </row>
    <row r="206" spans="2:12" x14ac:dyDescent="0.2">
      <c r="B206" s="45" t="s">
        <v>16</v>
      </c>
      <c r="C206" s="46" t="str">
        <f>IF(B206="","",VLOOKUP(B206,ORÇAMENTO!$B$7:C138,2,0))</f>
        <v>FORRO E SANCA EM GESSO</v>
      </c>
      <c r="D206" s="46" t="s">
        <v>112</v>
      </c>
      <c r="E206" s="46" t="str">
        <f>IF(D206="","",VLOOKUP(D206,ORÇAMENTO!$B$7:$E$70,2,0))</f>
        <v>Forro de Gesso</v>
      </c>
      <c r="F206" s="46" t="s">
        <v>15</v>
      </c>
      <c r="G206" s="63"/>
      <c r="H206" s="47">
        <v>1</v>
      </c>
      <c r="I206" s="48">
        <v>18.36</v>
      </c>
      <c r="J206" s="48">
        <v>1</v>
      </c>
      <c r="K206" s="49">
        <v>2.15</v>
      </c>
      <c r="L206" s="53">
        <f t="shared" si="9"/>
        <v>39.473999999999997</v>
      </c>
    </row>
    <row r="207" spans="2:12" x14ac:dyDescent="0.2">
      <c r="B207" s="45" t="s">
        <v>16</v>
      </c>
      <c r="C207" s="46" t="str">
        <f>IF(B207="","",VLOOKUP(B207,ORÇAMENTO!$B$7:C139,2,0))</f>
        <v>FORRO E SANCA EM GESSO</v>
      </c>
      <c r="D207" s="46" t="s">
        <v>112</v>
      </c>
      <c r="E207" s="46" t="str">
        <f>IF(D207="","",VLOOKUP(D207,ORÇAMENTO!$B$7:$E$70,2,0))</f>
        <v>Forro de Gesso</v>
      </c>
      <c r="F207" s="46" t="s">
        <v>15</v>
      </c>
      <c r="G207" s="63"/>
      <c r="H207" s="47">
        <v>1</v>
      </c>
      <c r="I207" s="48">
        <v>11</v>
      </c>
      <c r="J207" s="48">
        <v>1</v>
      </c>
      <c r="K207" s="49">
        <v>1.8</v>
      </c>
      <c r="L207" s="53">
        <f t="shared" si="9"/>
        <v>19.8</v>
      </c>
    </row>
    <row r="208" spans="2:12" x14ac:dyDescent="0.2">
      <c r="B208" s="45" t="s">
        <v>16</v>
      </c>
      <c r="C208" s="46" t="str">
        <f>IF(B208="","",VLOOKUP(B208,ORÇAMENTO!$B$7:C140,2,0))</f>
        <v>FORRO E SANCA EM GESSO</v>
      </c>
      <c r="D208" s="46" t="s">
        <v>112</v>
      </c>
      <c r="E208" s="46" t="str">
        <f>IF(D208="","",VLOOKUP(D208,ORÇAMENTO!$B$7:$E$70,2,0))</f>
        <v>Forro de Gesso</v>
      </c>
      <c r="F208" s="46" t="s">
        <v>15</v>
      </c>
      <c r="G208" s="63"/>
      <c r="H208" s="47">
        <v>1</v>
      </c>
      <c r="I208" s="48">
        <v>33</v>
      </c>
      <c r="J208" s="48">
        <v>1</v>
      </c>
      <c r="K208" s="49">
        <v>1.2</v>
      </c>
      <c r="L208" s="53">
        <f t="shared" si="9"/>
        <v>39.6</v>
      </c>
    </row>
    <row r="209" spans="2:12" x14ac:dyDescent="0.2">
      <c r="B209" s="45" t="s">
        <v>16</v>
      </c>
      <c r="C209" s="46" t="str">
        <f>IF(B209="","",VLOOKUP(B209,ORÇAMENTO!$B$7:C141,2,0))</f>
        <v>FORRO E SANCA EM GESSO</v>
      </c>
      <c r="D209" s="46" t="s">
        <v>112</v>
      </c>
      <c r="E209" s="46" t="str">
        <f>IF(D209="","",VLOOKUP(D209,ORÇAMENTO!$B$7:$E$70,2,0))</f>
        <v>Forro de Gesso</v>
      </c>
      <c r="F209" s="46" t="s">
        <v>30</v>
      </c>
      <c r="G209" s="63"/>
      <c r="H209" s="47">
        <v>2</v>
      </c>
      <c r="I209" s="48">
        <v>6.9</v>
      </c>
      <c r="J209" s="48">
        <v>1</v>
      </c>
      <c r="K209" s="49">
        <v>1</v>
      </c>
      <c r="L209" s="53">
        <f t="shared" si="9"/>
        <v>13.8</v>
      </c>
    </row>
    <row r="210" spans="2:12" x14ac:dyDescent="0.2">
      <c r="B210" s="45" t="s">
        <v>16</v>
      </c>
      <c r="C210" s="46" t="str">
        <f>IF(B210="","",VLOOKUP(B210,ORÇAMENTO!$B$7:C142,2,0))</f>
        <v>FORRO E SANCA EM GESSO</v>
      </c>
      <c r="D210" s="46" t="s">
        <v>112</v>
      </c>
      <c r="E210" s="46" t="str">
        <f>IF(D210="","",VLOOKUP(D210,ORÇAMENTO!$B$7:$E$70,2,0))</f>
        <v>Forro de Gesso</v>
      </c>
      <c r="F210" s="46" t="s">
        <v>30</v>
      </c>
      <c r="G210" s="63"/>
      <c r="H210" s="47">
        <v>4</v>
      </c>
      <c r="I210" s="48">
        <v>16.45</v>
      </c>
      <c r="J210" s="48">
        <v>1</v>
      </c>
      <c r="K210" s="49">
        <v>0.5</v>
      </c>
      <c r="L210" s="53">
        <f t="shared" si="9"/>
        <v>32.9</v>
      </c>
    </row>
    <row r="211" spans="2:12" x14ac:dyDescent="0.2">
      <c r="B211" s="45" t="s">
        <v>16</v>
      </c>
      <c r="C211" s="46" t="str">
        <f>IF(B211="","",VLOOKUP(B211,ORÇAMENTO!$B$7:C158,2,0))</f>
        <v>FORRO E SANCA EM GESSO</v>
      </c>
      <c r="D211" s="46" t="s">
        <v>112</v>
      </c>
      <c r="E211" s="46" t="str">
        <f>IF(D211="","",VLOOKUP(D211,ORÇAMENTO!$B$7:$E$70,2,0))</f>
        <v>Forro de Gesso</v>
      </c>
      <c r="F211" s="46" t="s">
        <v>15</v>
      </c>
      <c r="G211" s="63"/>
      <c r="H211" s="47">
        <v>1</v>
      </c>
      <c r="I211" s="48">
        <v>1.65</v>
      </c>
      <c r="J211" s="48">
        <v>1</v>
      </c>
      <c r="K211" s="49">
        <v>1</v>
      </c>
      <c r="L211" s="53">
        <f t="shared" si="9"/>
        <v>1.65</v>
      </c>
    </row>
    <row r="212" spans="2:12" x14ac:dyDescent="0.2">
      <c r="B212" s="45" t="s">
        <v>16</v>
      </c>
      <c r="C212" s="46" t="str">
        <f>IF(B212="","",VLOOKUP(B212,ORÇAMENTO!$B$7:C159,2,0))</f>
        <v>FORRO E SANCA EM GESSO</v>
      </c>
      <c r="D212" s="46" t="s">
        <v>112</v>
      </c>
      <c r="E212" s="46" t="str">
        <f>IF(D212="","",VLOOKUP(D212,ORÇAMENTO!$B$7:$E$70,2,0))</f>
        <v>Forro de Gesso</v>
      </c>
      <c r="F212" s="46" t="s">
        <v>15</v>
      </c>
      <c r="G212" s="63"/>
      <c r="H212" s="47">
        <v>1</v>
      </c>
      <c r="I212" s="48">
        <v>0.68</v>
      </c>
      <c r="J212" s="48">
        <v>1</v>
      </c>
      <c r="K212" s="49">
        <v>0.5</v>
      </c>
      <c r="L212" s="53">
        <f t="shared" si="9"/>
        <v>0.34</v>
      </c>
    </row>
    <row r="213" spans="2:12" x14ac:dyDescent="0.2">
      <c r="B213" s="45" t="s">
        <v>16</v>
      </c>
      <c r="C213" s="46" t="str">
        <f>IF(B213="","",VLOOKUP(B213,ORÇAMENTO!$B$7:C134,2,0))</f>
        <v>FORRO E SANCA EM GESSO</v>
      </c>
      <c r="D213" s="46" t="s">
        <v>113</v>
      </c>
      <c r="E213" s="46" t="e">
        <f>IF(D213="","",VLOOKUP(D213,ORÇAMENTO!$B$7:$E$70,2,0))</f>
        <v>#N/A</v>
      </c>
      <c r="F213" s="46" t="s">
        <v>232</v>
      </c>
      <c r="G213" s="63"/>
      <c r="H213" s="47">
        <v>2</v>
      </c>
      <c r="I213" s="48"/>
      <c r="J213" s="48">
        <v>30.36</v>
      </c>
      <c r="K213" s="49">
        <v>2.8</v>
      </c>
      <c r="L213" s="53">
        <f>K213*J213*H213</f>
        <v>170.01599999999999</v>
      </c>
    </row>
    <row r="214" spans="2:12" x14ac:dyDescent="0.2">
      <c r="B214" s="45" t="s">
        <v>16</v>
      </c>
      <c r="C214" s="46" t="str">
        <f>IF(B214="","",VLOOKUP(B214,ORÇAMENTO!$B$7:C135,2,0))</f>
        <v>FORRO E SANCA EM GESSO</v>
      </c>
      <c r="D214" s="46" t="s">
        <v>113</v>
      </c>
      <c r="E214" s="46" t="e">
        <f>IF(D214="","",VLOOKUP(D214,ORÇAMENTO!$B$7:$E$70,2,0))</f>
        <v>#N/A</v>
      </c>
      <c r="F214" s="46" t="s">
        <v>232</v>
      </c>
      <c r="G214" s="63"/>
      <c r="H214" s="47">
        <v>2</v>
      </c>
      <c r="I214" s="48"/>
      <c r="J214" s="48">
        <v>12.93</v>
      </c>
      <c r="K214" s="49">
        <v>1</v>
      </c>
      <c r="L214" s="53">
        <f>K214*J214*H214</f>
        <v>25.86</v>
      </c>
    </row>
    <row r="215" spans="2:12" x14ac:dyDescent="0.2">
      <c r="B215" s="45" t="s">
        <v>16</v>
      </c>
      <c r="C215" s="46" t="str">
        <f>IF(B215="","",VLOOKUP(B215,ORÇAMENTO!$B$7:C136,2,0))</f>
        <v>FORRO E SANCA EM GESSO</v>
      </c>
      <c r="D215" s="46" t="s">
        <v>113</v>
      </c>
      <c r="E215" s="46" t="e">
        <f>IF(D215="","",VLOOKUP(D215,ORÇAMENTO!$B$7:$E$70,2,0))</f>
        <v>#N/A</v>
      </c>
      <c r="F215" s="46" t="s">
        <v>232</v>
      </c>
      <c r="G215" s="63"/>
      <c r="H215" s="47">
        <v>2</v>
      </c>
      <c r="I215" s="48"/>
      <c r="J215" s="48">
        <v>1.75</v>
      </c>
      <c r="K215" s="49">
        <v>0.1</v>
      </c>
      <c r="L215" s="53">
        <f>K215*J215*H215</f>
        <v>0.35000000000000003</v>
      </c>
    </row>
    <row r="216" spans="2:12" x14ac:dyDescent="0.2">
      <c r="B216" s="45" t="s">
        <v>16</v>
      </c>
      <c r="C216" s="46" t="str">
        <f>IF(B216="","",VLOOKUP(B216,ORÇAMENTO!$B$7:C143,2,0))</f>
        <v>FORRO E SANCA EM GESSO</v>
      </c>
      <c r="D216" s="46" t="s">
        <v>113</v>
      </c>
      <c r="E216" s="46" t="e">
        <f>IF(D216="","",VLOOKUP(D216,ORÇAMENTO!$B$7:$E$70,2,0))</f>
        <v>#N/A</v>
      </c>
      <c r="F216" s="46" t="s">
        <v>31</v>
      </c>
      <c r="G216" s="63"/>
      <c r="H216" s="47">
        <v>2</v>
      </c>
      <c r="I216" s="48">
        <v>50.17</v>
      </c>
      <c r="J216" s="48">
        <v>1</v>
      </c>
      <c r="K216" s="49">
        <v>2.8</v>
      </c>
      <c r="L216" s="53">
        <f t="shared" ref="L216:L247" si="10">H216*I216*J216*K216</f>
        <v>280.952</v>
      </c>
    </row>
    <row r="217" spans="2:12" x14ac:dyDescent="0.2">
      <c r="B217" s="45" t="s">
        <v>16</v>
      </c>
      <c r="C217" s="46" t="str">
        <f>IF(B217="","",VLOOKUP(B217,ORÇAMENTO!$B$7:C144,2,0))</f>
        <v>FORRO E SANCA EM GESSO</v>
      </c>
      <c r="D217" s="46" t="s">
        <v>113</v>
      </c>
      <c r="E217" s="46" t="e">
        <f>IF(D217="","",VLOOKUP(D217,ORÇAMENTO!$B$7:$E$70,2,0))</f>
        <v>#N/A</v>
      </c>
      <c r="F217" s="46" t="s">
        <v>31</v>
      </c>
      <c r="G217" s="63"/>
      <c r="H217" s="47">
        <v>2</v>
      </c>
      <c r="I217" s="48">
        <v>7.39</v>
      </c>
      <c r="J217" s="48">
        <v>1</v>
      </c>
      <c r="K217" s="49">
        <v>1</v>
      </c>
      <c r="L217" s="53">
        <f t="shared" si="10"/>
        <v>14.78</v>
      </c>
    </row>
    <row r="218" spans="2:12" x14ac:dyDescent="0.2">
      <c r="B218" s="45" t="s">
        <v>16</v>
      </c>
      <c r="C218" s="46" t="str">
        <f>IF(B218="","",VLOOKUP(B218,ORÇAMENTO!$B$7:C148,2,0))</f>
        <v>FORRO E SANCA EM GESSO</v>
      </c>
      <c r="D218" s="46" t="s">
        <v>113</v>
      </c>
      <c r="E218" s="46" t="e">
        <f>IF(D218="","",VLOOKUP(D218,ORÇAMENTO!$B$7:$E$70,2,0))</f>
        <v>#N/A</v>
      </c>
      <c r="F218" s="46" t="s">
        <v>28</v>
      </c>
      <c r="G218" s="63"/>
      <c r="H218" s="47">
        <v>1</v>
      </c>
      <c r="I218" s="48">
        <v>190.48</v>
      </c>
      <c r="J218" s="48">
        <v>1</v>
      </c>
      <c r="K218" s="49">
        <v>2.8</v>
      </c>
      <c r="L218" s="53">
        <f t="shared" si="10"/>
        <v>533.34399999999994</v>
      </c>
    </row>
    <row r="219" spans="2:12" x14ac:dyDescent="0.2">
      <c r="B219" s="45" t="s">
        <v>16</v>
      </c>
      <c r="C219" s="46" t="str">
        <f>IF(B219="","",VLOOKUP(B219,ORÇAMENTO!$B$7:C149,2,0))</f>
        <v>FORRO E SANCA EM GESSO</v>
      </c>
      <c r="D219" s="46" t="s">
        <v>113</v>
      </c>
      <c r="E219" s="46" t="e">
        <f>IF(D219="","",VLOOKUP(D219,ORÇAMENTO!$B$7:$E$70,2,0))</f>
        <v>#N/A</v>
      </c>
      <c r="F219" s="46" t="s">
        <v>28</v>
      </c>
      <c r="G219" s="63"/>
      <c r="H219" s="47">
        <v>1</v>
      </c>
      <c r="I219" s="48">
        <v>36.85</v>
      </c>
      <c r="J219" s="48">
        <v>1</v>
      </c>
      <c r="K219" s="49">
        <v>1.8</v>
      </c>
      <c r="L219" s="53">
        <f t="shared" si="10"/>
        <v>66.33</v>
      </c>
    </row>
    <row r="220" spans="2:12" x14ac:dyDescent="0.2">
      <c r="B220" s="45" t="s">
        <v>16</v>
      </c>
      <c r="C220" s="46" t="str">
        <f>IF(B220="","",VLOOKUP(B220,ORÇAMENTO!$B$7:C151,2,0))</f>
        <v>FORRO E SANCA EM GESSO</v>
      </c>
      <c r="D220" s="46" t="s">
        <v>113</v>
      </c>
      <c r="E220" s="46" t="e">
        <f>IF(D220="","",VLOOKUP(D220,ORÇAMENTO!$B$7:$E$70,2,0))</f>
        <v>#N/A</v>
      </c>
      <c r="F220" s="46" t="s">
        <v>28</v>
      </c>
      <c r="G220" s="46"/>
      <c r="H220" s="47">
        <v>1</v>
      </c>
      <c r="I220" s="48">
        <v>9.8699999999999992</v>
      </c>
      <c r="J220" s="48">
        <v>1</v>
      </c>
      <c r="K220" s="49">
        <v>1</v>
      </c>
      <c r="L220" s="53">
        <f t="shared" si="10"/>
        <v>9.8699999999999992</v>
      </c>
    </row>
    <row r="221" spans="2:12" x14ac:dyDescent="0.2">
      <c r="B221" s="45" t="s">
        <v>16</v>
      </c>
      <c r="C221" s="46" t="str">
        <f>IF(B221="","",VLOOKUP(B221,ORÇAMENTO!$B$7:C152,2,0))</f>
        <v>FORRO E SANCA EM GESSO</v>
      </c>
      <c r="D221" s="46" t="s">
        <v>113</v>
      </c>
      <c r="E221" s="46" t="e">
        <f>IF(D221="","",VLOOKUP(D221,ORÇAMENTO!$B$7:$E$70,2,0))</f>
        <v>#N/A</v>
      </c>
      <c r="F221" s="46" t="s">
        <v>29</v>
      </c>
      <c r="G221" s="46"/>
      <c r="H221" s="47">
        <v>5</v>
      </c>
      <c r="I221" s="48">
        <v>213.72</v>
      </c>
      <c r="J221" s="48">
        <v>1</v>
      </c>
      <c r="K221" s="49">
        <v>2.6</v>
      </c>
      <c r="L221" s="53">
        <f t="shared" si="10"/>
        <v>2778.3599999999997</v>
      </c>
    </row>
    <row r="222" spans="2:12" x14ac:dyDescent="0.2">
      <c r="B222" s="45" t="s">
        <v>16</v>
      </c>
      <c r="C222" s="46" t="str">
        <f>IF(B222="","",VLOOKUP(B222,ORÇAMENTO!$B$7:C153,2,0))</f>
        <v>FORRO E SANCA EM GESSO</v>
      </c>
      <c r="D222" s="46" t="s">
        <v>113</v>
      </c>
      <c r="E222" s="46" t="e">
        <f>IF(D222="","",VLOOKUP(D222,ORÇAMENTO!$B$7:$E$70,2,0))</f>
        <v>#N/A</v>
      </c>
      <c r="F222" s="46" t="s">
        <v>29</v>
      </c>
      <c r="G222" s="46"/>
      <c r="H222" s="47">
        <v>5</v>
      </c>
      <c r="I222" s="48">
        <v>22.85</v>
      </c>
      <c r="J222" s="48">
        <v>1</v>
      </c>
      <c r="K222" s="49">
        <v>1</v>
      </c>
      <c r="L222" s="53">
        <f t="shared" si="10"/>
        <v>114.25</v>
      </c>
    </row>
    <row r="223" spans="2:12" x14ac:dyDescent="0.2">
      <c r="B223" s="45" t="s">
        <v>16</v>
      </c>
      <c r="C223" s="46" t="str">
        <f>IF(B223="","",VLOOKUP(B223,ORÇAMENTO!$B$7:C155,2,0))</f>
        <v>FORRO E SANCA EM GESSO</v>
      </c>
      <c r="D223" s="46" t="s">
        <v>113</v>
      </c>
      <c r="E223" s="46" t="e">
        <f>IF(D223="","",VLOOKUP(D223,ORÇAMENTO!$B$7:$E$70,2,0))</f>
        <v>#N/A</v>
      </c>
      <c r="F223" s="46" t="s">
        <v>34</v>
      </c>
      <c r="G223" s="46"/>
      <c r="H223" s="47">
        <v>2</v>
      </c>
      <c r="I223" s="48">
        <v>219.36</v>
      </c>
      <c r="J223" s="48">
        <v>1</v>
      </c>
      <c r="K223" s="49">
        <v>2.8</v>
      </c>
      <c r="L223" s="53">
        <f t="shared" si="10"/>
        <v>1228.4159999999999</v>
      </c>
    </row>
    <row r="224" spans="2:12" x14ac:dyDescent="0.2">
      <c r="B224" s="45" t="s">
        <v>16</v>
      </c>
      <c r="C224" s="46" t="str">
        <f>IF(B224="","",VLOOKUP(B224,ORÇAMENTO!$B$7:C156,2,0))</f>
        <v>FORRO E SANCA EM GESSO</v>
      </c>
      <c r="D224" s="46" t="s">
        <v>113</v>
      </c>
      <c r="E224" s="46" t="e">
        <f>IF(D224="","",VLOOKUP(D224,ORÇAMENTO!$B$7:$E$70,2,0))</f>
        <v>#N/A</v>
      </c>
      <c r="F224" s="46" t="s">
        <v>34</v>
      </c>
      <c r="G224" s="46"/>
      <c r="H224" s="47">
        <v>4</v>
      </c>
      <c r="I224" s="48">
        <v>22.85</v>
      </c>
      <c r="J224" s="48">
        <v>1</v>
      </c>
      <c r="K224" s="49">
        <v>2.8</v>
      </c>
      <c r="L224" s="53">
        <f t="shared" si="10"/>
        <v>255.92</v>
      </c>
    </row>
    <row r="225" spans="2:12" x14ac:dyDescent="0.2">
      <c r="B225" s="45" t="s">
        <v>16</v>
      </c>
      <c r="C225" s="46" t="str">
        <f>IF(B225="","",VLOOKUP(B225,ORÇAMENTO!$B$7:C158,2,0))</f>
        <v>FORRO E SANCA EM GESSO</v>
      </c>
      <c r="D225" s="46" t="s">
        <v>113</v>
      </c>
      <c r="E225" s="46" t="e">
        <f>IF(D225="","",VLOOKUP(D225,ORÇAMENTO!$B$7:$E$70,2,0))</f>
        <v>#N/A</v>
      </c>
      <c r="F225" s="46" t="s">
        <v>15</v>
      </c>
      <c r="G225" s="46"/>
      <c r="H225" s="47">
        <v>1</v>
      </c>
      <c r="I225" s="48">
        <v>2.38</v>
      </c>
      <c r="J225" s="48">
        <v>1</v>
      </c>
      <c r="K225" s="49">
        <v>2.8</v>
      </c>
      <c r="L225" s="53">
        <f t="shared" si="10"/>
        <v>6.6639999999999997</v>
      </c>
    </row>
    <row r="226" spans="2:12" x14ac:dyDescent="0.2">
      <c r="B226" s="45" t="s">
        <v>16</v>
      </c>
      <c r="C226" s="46" t="str">
        <f>IF(B226="","",VLOOKUP(B226,ORÇAMENTO!$B$7:C159,2,0))</f>
        <v>FORRO E SANCA EM GESSO</v>
      </c>
      <c r="D226" s="46" t="s">
        <v>113</v>
      </c>
      <c r="E226" s="46" t="e">
        <f>IF(D226="","",VLOOKUP(D226,ORÇAMENTO!$B$7:$E$70,2,0))</f>
        <v>#N/A</v>
      </c>
      <c r="F226" s="46" t="s">
        <v>15</v>
      </c>
      <c r="G226" s="46"/>
      <c r="H226" s="47">
        <v>1</v>
      </c>
      <c r="I226" s="48">
        <v>2.08</v>
      </c>
      <c r="J226" s="48">
        <v>1</v>
      </c>
      <c r="K226" s="49">
        <v>2.2999999999999998</v>
      </c>
      <c r="L226" s="53">
        <f t="shared" si="10"/>
        <v>4.7839999999999998</v>
      </c>
    </row>
    <row r="227" spans="2:12" x14ac:dyDescent="0.2">
      <c r="B227" s="45" t="s">
        <v>16</v>
      </c>
      <c r="C227" s="46" t="str">
        <f>IF(B227="","",VLOOKUP(B227,ORÇAMENTO!$B$7:C160,2,0))</f>
        <v>FORRO E SANCA EM GESSO</v>
      </c>
      <c r="D227" s="46" t="s">
        <v>113</v>
      </c>
      <c r="E227" s="46" t="e">
        <f>IF(D227="","",VLOOKUP(D227,ORÇAMENTO!$B$7:$E$70,2,0))</f>
        <v>#N/A</v>
      </c>
      <c r="F227" s="46" t="s">
        <v>15</v>
      </c>
      <c r="G227" s="46"/>
      <c r="H227" s="47">
        <v>1</v>
      </c>
      <c r="I227" s="48">
        <v>18.36</v>
      </c>
      <c r="J227" s="48">
        <v>1</v>
      </c>
      <c r="K227" s="49">
        <v>2.15</v>
      </c>
      <c r="L227" s="53">
        <f t="shared" si="10"/>
        <v>39.473999999999997</v>
      </c>
    </row>
    <row r="228" spans="2:12" x14ac:dyDescent="0.2">
      <c r="B228" s="45" t="s">
        <v>16</v>
      </c>
      <c r="C228" s="46" t="str">
        <f>IF(B228="","",VLOOKUP(B228,ORÇAMENTO!$B$7:C161,2,0))</f>
        <v>FORRO E SANCA EM GESSO</v>
      </c>
      <c r="D228" s="46" t="s">
        <v>113</v>
      </c>
      <c r="E228" s="46" t="e">
        <f>IF(D228="","",VLOOKUP(D228,ORÇAMENTO!$B$7:$E$70,2,0))</f>
        <v>#N/A</v>
      </c>
      <c r="F228" s="46" t="s">
        <v>15</v>
      </c>
      <c r="G228" s="46"/>
      <c r="H228" s="47">
        <v>1</v>
      </c>
      <c r="I228" s="48">
        <v>11</v>
      </c>
      <c r="J228" s="48">
        <v>1</v>
      </c>
      <c r="K228" s="49">
        <v>1.8</v>
      </c>
      <c r="L228" s="53">
        <f t="shared" si="10"/>
        <v>19.8</v>
      </c>
    </row>
    <row r="229" spans="2:12" x14ac:dyDescent="0.2">
      <c r="B229" s="45" t="s">
        <v>16</v>
      </c>
      <c r="C229" s="46" t="str">
        <f>IF(B229="","",VLOOKUP(B229,ORÇAMENTO!$B$7:C162,2,0))</f>
        <v>FORRO E SANCA EM GESSO</v>
      </c>
      <c r="D229" s="46" t="s">
        <v>113</v>
      </c>
      <c r="E229" s="46" t="e">
        <f>IF(D229="","",VLOOKUP(D229,ORÇAMENTO!$B$7:$E$70,2,0))</f>
        <v>#N/A</v>
      </c>
      <c r="F229" s="46" t="s">
        <v>15</v>
      </c>
      <c r="G229" s="46"/>
      <c r="H229" s="47">
        <v>1</v>
      </c>
      <c r="I229" s="48">
        <v>33</v>
      </c>
      <c r="J229" s="48">
        <v>1</v>
      </c>
      <c r="K229" s="49">
        <v>1.2</v>
      </c>
      <c r="L229" s="53">
        <f t="shared" si="10"/>
        <v>39.6</v>
      </c>
    </row>
    <row r="230" spans="2:12" x14ac:dyDescent="0.2">
      <c r="B230" s="45" t="s">
        <v>16</v>
      </c>
      <c r="C230" s="46" t="str">
        <f>IF(B230="","",VLOOKUP(B230,ORÇAMENTO!$B$7:C160,2,0))</f>
        <v>FORRO E SANCA EM GESSO</v>
      </c>
      <c r="D230" s="46" t="s">
        <v>113</v>
      </c>
      <c r="E230" s="46" t="e">
        <f>IF(D230="","",VLOOKUP(D230,ORÇAMENTO!$B$7:$E$70,2,0))</f>
        <v>#N/A</v>
      </c>
      <c r="F230" s="46" t="s">
        <v>15</v>
      </c>
      <c r="G230" s="46"/>
      <c r="H230" s="47">
        <v>1</v>
      </c>
      <c r="I230" s="48">
        <v>1.65</v>
      </c>
      <c r="J230" s="48">
        <v>1</v>
      </c>
      <c r="K230" s="49">
        <v>1</v>
      </c>
      <c r="L230" s="53">
        <f t="shared" si="10"/>
        <v>1.65</v>
      </c>
    </row>
    <row r="231" spans="2:12" x14ac:dyDescent="0.2">
      <c r="B231" s="45" t="s">
        <v>16</v>
      </c>
      <c r="C231" s="46" t="str">
        <f>IF(B231="","",VLOOKUP(B231,ORÇAMENTO!$B$7:C161,2,0))</f>
        <v>FORRO E SANCA EM GESSO</v>
      </c>
      <c r="D231" s="46" t="s">
        <v>113</v>
      </c>
      <c r="E231" s="46" t="e">
        <f>IF(D231="","",VLOOKUP(D231,ORÇAMENTO!$B$7:$E$70,2,0))</f>
        <v>#N/A</v>
      </c>
      <c r="F231" s="46" t="s">
        <v>15</v>
      </c>
      <c r="G231" s="46"/>
      <c r="H231" s="47">
        <v>1</v>
      </c>
      <c r="I231" s="48">
        <v>0.68</v>
      </c>
      <c r="J231" s="48">
        <v>1</v>
      </c>
      <c r="K231" s="49">
        <v>0.5</v>
      </c>
      <c r="L231" s="53">
        <f t="shared" si="10"/>
        <v>0.34</v>
      </c>
    </row>
    <row r="232" spans="2:12" x14ac:dyDescent="0.2">
      <c r="B232" s="45" t="s">
        <v>16</v>
      </c>
      <c r="C232" s="46" t="str">
        <f>IF(B232="","",VLOOKUP(B232,ORÇAMENTO!$B$7:C163,2,0))</f>
        <v>FORRO E SANCA EM GESSO</v>
      </c>
      <c r="D232" s="46" t="s">
        <v>113</v>
      </c>
      <c r="E232" s="46" t="e">
        <f>IF(D232="","",VLOOKUP(D232,ORÇAMENTO!$B$7:$E$70,2,0))</f>
        <v>#N/A</v>
      </c>
      <c r="F232" s="46" t="s">
        <v>30</v>
      </c>
      <c r="G232" s="46"/>
      <c r="H232" s="47">
        <v>2</v>
      </c>
      <c r="I232" s="48">
        <v>6.9</v>
      </c>
      <c r="J232" s="48">
        <v>1</v>
      </c>
      <c r="K232" s="49">
        <v>2.8</v>
      </c>
      <c r="L232" s="53">
        <f t="shared" si="10"/>
        <v>38.64</v>
      </c>
    </row>
    <row r="233" spans="2:12" x14ac:dyDescent="0.2">
      <c r="B233" s="45" t="s">
        <v>16</v>
      </c>
      <c r="C233" s="46" t="str">
        <f>IF(B233="","",VLOOKUP(B233,ORÇAMENTO!$B$7:C164,2,0))</f>
        <v>FORRO E SANCA EM GESSO</v>
      </c>
      <c r="D233" s="46" t="s">
        <v>113</v>
      </c>
      <c r="E233" s="46" t="e">
        <f>IF(D233="","",VLOOKUP(D233,ORÇAMENTO!$B$7:$E$70,2,0))</f>
        <v>#N/A</v>
      </c>
      <c r="F233" s="46" t="s">
        <v>30</v>
      </c>
      <c r="G233" s="46"/>
      <c r="H233" s="47">
        <v>4</v>
      </c>
      <c r="I233" s="48">
        <v>16.45</v>
      </c>
      <c r="J233" s="48">
        <v>1</v>
      </c>
      <c r="K233" s="49">
        <v>2.8</v>
      </c>
      <c r="L233" s="53">
        <f t="shared" si="10"/>
        <v>184.23999999999998</v>
      </c>
    </row>
    <row r="234" spans="2:12" x14ac:dyDescent="0.2">
      <c r="B234" s="45" t="s">
        <v>16</v>
      </c>
      <c r="C234" s="46" t="str">
        <f>IF(B234="","",VLOOKUP(B234,ORÇAMENTO!$B$7:C225,2,0))</f>
        <v>FORRO E SANCA EM GESSO</v>
      </c>
      <c r="D234" s="46" t="s">
        <v>114</v>
      </c>
      <c r="E234" s="46" t="e">
        <f>IF(D234="","",VLOOKUP(D234,ORÇAMENTO!$B$7:$E$70,2,0))</f>
        <v>#N/A</v>
      </c>
      <c r="F234" s="46" t="s">
        <v>28</v>
      </c>
      <c r="G234" s="46" t="s">
        <v>45</v>
      </c>
      <c r="H234" s="47">
        <v>1</v>
      </c>
      <c r="I234" s="48">
        <v>5</v>
      </c>
      <c r="J234" s="48">
        <v>1</v>
      </c>
      <c r="K234" s="49">
        <v>2.8</v>
      </c>
      <c r="L234" s="53">
        <f t="shared" si="10"/>
        <v>14</v>
      </c>
    </row>
    <row r="235" spans="2:12" x14ac:dyDescent="0.2">
      <c r="B235" s="45" t="s">
        <v>16</v>
      </c>
      <c r="C235" s="46" t="str">
        <f>IF(B235="","",VLOOKUP(B235,ORÇAMENTO!$B$7:C227,2,0))</f>
        <v>FORRO E SANCA EM GESSO</v>
      </c>
      <c r="D235" s="46" t="s">
        <v>114</v>
      </c>
      <c r="E235" s="46" t="e">
        <f>IF(D235="","",VLOOKUP(D235,ORÇAMENTO!$B$7:$E$70,2,0))</f>
        <v>#N/A</v>
      </c>
      <c r="F235" s="46" t="s">
        <v>28</v>
      </c>
      <c r="G235" s="46" t="s">
        <v>57</v>
      </c>
      <c r="H235" s="47">
        <v>1</v>
      </c>
      <c r="I235" s="48">
        <v>5.7</v>
      </c>
      <c r="J235" s="48">
        <v>1</v>
      </c>
      <c r="K235" s="49">
        <v>2.8</v>
      </c>
      <c r="L235" s="53">
        <f t="shared" si="10"/>
        <v>15.959999999999999</v>
      </c>
    </row>
    <row r="236" spans="2:12" x14ac:dyDescent="0.2">
      <c r="B236" s="45" t="s">
        <v>16</v>
      </c>
      <c r="C236" s="46" t="str">
        <f>IF(B236="","",VLOOKUP(B236,ORÇAMENTO!$B$7:C228,2,0))</f>
        <v>FORRO E SANCA EM GESSO</v>
      </c>
      <c r="D236" s="46" t="s">
        <v>114</v>
      </c>
      <c r="E236" s="46" t="e">
        <f>IF(D236="","",VLOOKUP(D236,ORÇAMENTO!$B$7:$E$70,2,0))</f>
        <v>#N/A</v>
      </c>
      <c r="F236" s="46" t="s">
        <v>28</v>
      </c>
      <c r="G236" s="46" t="s">
        <v>58</v>
      </c>
      <c r="H236" s="47">
        <v>1</v>
      </c>
      <c r="I236" s="48">
        <v>6.14</v>
      </c>
      <c r="J236" s="48">
        <v>1</v>
      </c>
      <c r="K236" s="49">
        <v>2.8</v>
      </c>
      <c r="L236" s="53">
        <f t="shared" si="10"/>
        <v>17.191999999999997</v>
      </c>
    </row>
    <row r="237" spans="2:12" x14ac:dyDescent="0.2">
      <c r="B237" s="45" t="s">
        <v>16</v>
      </c>
      <c r="C237" s="46" t="str">
        <f>IF(B237="","",VLOOKUP(B237,ORÇAMENTO!$B$7:C229,2,0))</f>
        <v>FORRO E SANCA EM GESSO</v>
      </c>
      <c r="D237" s="46" t="s">
        <v>114</v>
      </c>
      <c r="E237" s="46" t="e">
        <f>IF(D237="","",VLOOKUP(D237,ORÇAMENTO!$B$7:$E$70,2,0))</f>
        <v>#N/A</v>
      </c>
      <c r="F237" s="46" t="s">
        <v>29</v>
      </c>
      <c r="G237" s="46" t="s">
        <v>59</v>
      </c>
      <c r="H237" s="47">
        <f t="shared" ref="H237:H264" si="11">5*2</f>
        <v>10</v>
      </c>
      <c r="I237" s="48">
        <v>2.4500000000000002</v>
      </c>
      <c r="J237" s="48">
        <v>1</v>
      </c>
      <c r="K237" s="49">
        <v>2.8</v>
      </c>
      <c r="L237" s="53">
        <f t="shared" si="10"/>
        <v>68.599999999999994</v>
      </c>
    </row>
    <row r="238" spans="2:12" x14ac:dyDescent="0.2">
      <c r="B238" s="45" t="s">
        <v>16</v>
      </c>
      <c r="C238" s="46" t="str">
        <f>IF(B238="","",VLOOKUP(B238,ORÇAMENTO!$B$7:C230,2,0))</f>
        <v>FORRO E SANCA EM GESSO</v>
      </c>
      <c r="D238" s="46" t="s">
        <v>114</v>
      </c>
      <c r="E238" s="46" t="e">
        <f>IF(D238="","",VLOOKUP(D238,ORÇAMENTO!$B$7:$E$70,2,0))</f>
        <v>#N/A</v>
      </c>
      <c r="F238" s="46" t="s">
        <v>29</v>
      </c>
      <c r="G238" s="46" t="s">
        <v>59</v>
      </c>
      <c r="H238" s="47">
        <f t="shared" si="11"/>
        <v>10</v>
      </c>
      <c r="I238" s="48">
        <v>1.5</v>
      </c>
      <c r="J238" s="48">
        <v>1</v>
      </c>
      <c r="K238" s="49">
        <v>2.8</v>
      </c>
      <c r="L238" s="53">
        <f t="shared" si="10"/>
        <v>42</v>
      </c>
    </row>
    <row r="239" spans="2:12" x14ac:dyDescent="0.2">
      <c r="B239" s="45" t="s">
        <v>16</v>
      </c>
      <c r="C239" s="46" t="str">
        <f>IF(B239="","",VLOOKUP(B239,ORÇAMENTO!$B$7:C231,2,0))</f>
        <v>FORRO E SANCA EM GESSO</v>
      </c>
      <c r="D239" s="46" t="s">
        <v>114</v>
      </c>
      <c r="E239" s="46" t="e">
        <f>IF(D239="","",VLOOKUP(D239,ORÇAMENTO!$B$7:$E$70,2,0))</f>
        <v>#N/A</v>
      </c>
      <c r="F239" s="46" t="s">
        <v>29</v>
      </c>
      <c r="G239" s="46" t="s">
        <v>60</v>
      </c>
      <c r="H239" s="47">
        <f t="shared" si="11"/>
        <v>10</v>
      </c>
      <c r="I239" s="48">
        <v>3.25</v>
      </c>
      <c r="J239" s="48">
        <v>1</v>
      </c>
      <c r="K239" s="49">
        <v>2.8</v>
      </c>
      <c r="L239" s="53">
        <f t="shared" si="10"/>
        <v>91</v>
      </c>
    </row>
    <row r="240" spans="2:12" x14ac:dyDescent="0.2">
      <c r="B240" s="45" t="s">
        <v>16</v>
      </c>
      <c r="C240" s="46" t="str">
        <f>IF(B240="","",VLOOKUP(B240,ORÇAMENTO!$B$7:C232,2,0))</f>
        <v>FORRO E SANCA EM GESSO</v>
      </c>
      <c r="D240" s="46" t="s">
        <v>114</v>
      </c>
      <c r="E240" s="46" t="e">
        <f>IF(D240="","",VLOOKUP(D240,ORÇAMENTO!$B$7:$E$70,2,0))</f>
        <v>#N/A</v>
      </c>
      <c r="F240" s="46" t="s">
        <v>29</v>
      </c>
      <c r="G240" s="46" t="s">
        <v>60</v>
      </c>
      <c r="H240" s="47">
        <f t="shared" si="11"/>
        <v>10</v>
      </c>
      <c r="I240" s="48">
        <v>3.35</v>
      </c>
      <c r="J240" s="48">
        <v>1</v>
      </c>
      <c r="K240" s="49">
        <v>2.8</v>
      </c>
      <c r="L240" s="53">
        <f t="shared" si="10"/>
        <v>93.8</v>
      </c>
    </row>
    <row r="241" spans="2:12" x14ac:dyDescent="0.2">
      <c r="B241" s="45" t="s">
        <v>16</v>
      </c>
      <c r="C241" s="46" t="str">
        <f>IF(B241="","",VLOOKUP(B241,ORÇAMENTO!$B$7:C233,2,0))</f>
        <v>FORRO E SANCA EM GESSO</v>
      </c>
      <c r="D241" s="46" t="s">
        <v>114</v>
      </c>
      <c r="E241" s="46" t="e">
        <f>IF(D241="","",VLOOKUP(D241,ORÇAMENTO!$B$7:$E$70,2,0))</f>
        <v>#N/A</v>
      </c>
      <c r="F241" s="46" t="s">
        <v>29</v>
      </c>
      <c r="G241" s="46" t="s">
        <v>61</v>
      </c>
      <c r="H241" s="47">
        <f t="shared" si="11"/>
        <v>10</v>
      </c>
      <c r="I241" s="48">
        <v>1.05</v>
      </c>
      <c r="J241" s="48">
        <v>1</v>
      </c>
      <c r="K241" s="49">
        <v>2.8</v>
      </c>
      <c r="L241" s="53">
        <f t="shared" si="10"/>
        <v>29.4</v>
      </c>
    </row>
    <row r="242" spans="2:12" x14ac:dyDescent="0.2">
      <c r="B242" s="45" t="s">
        <v>16</v>
      </c>
      <c r="C242" s="46" t="str">
        <f>IF(B242="","",VLOOKUP(B242,ORÇAMENTO!$B$7:C234,2,0))</f>
        <v>FORRO E SANCA EM GESSO</v>
      </c>
      <c r="D242" s="46" t="s">
        <v>114</v>
      </c>
      <c r="E242" s="46" t="e">
        <f>IF(D242="","",VLOOKUP(D242,ORÇAMENTO!$B$7:$E$70,2,0))</f>
        <v>#N/A</v>
      </c>
      <c r="F242" s="46" t="s">
        <v>29</v>
      </c>
      <c r="G242" s="46" t="s">
        <v>61</v>
      </c>
      <c r="H242" s="47">
        <f t="shared" si="11"/>
        <v>10</v>
      </c>
      <c r="I242" s="48">
        <v>1.95</v>
      </c>
      <c r="J242" s="48">
        <v>1</v>
      </c>
      <c r="K242" s="49">
        <v>2.8</v>
      </c>
      <c r="L242" s="53">
        <f t="shared" si="10"/>
        <v>54.599999999999994</v>
      </c>
    </row>
    <row r="243" spans="2:12" x14ac:dyDescent="0.2">
      <c r="B243" s="45" t="s">
        <v>16</v>
      </c>
      <c r="C243" s="46" t="str">
        <f>IF(B243="","",VLOOKUP(B243,ORÇAMENTO!$B$7:C235,2,0))</f>
        <v>FORRO E SANCA EM GESSO</v>
      </c>
      <c r="D243" s="46" t="s">
        <v>114</v>
      </c>
      <c r="E243" s="46" t="e">
        <f>IF(D243="","",VLOOKUP(D243,ORÇAMENTO!$B$7:$E$70,2,0))</f>
        <v>#N/A</v>
      </c>
      <c r="F243" s="46" t="s">
        <v>29</v>
      </c>
      <c r="G243" s="46" t="s">
        <v>62</v>
      </c>
      <c r="H243" s="47">
        <f t="shared" si="11"/>
        <v>10</v>
      </c>
      <c r="I243" s="48">
        <v>2</v>
      </c>
      <c r="J243" s="48">
        <v>1</v>
      </c>
      <c r="K243" s="49">
        <v>2.2000000000000002</v>
      </c>
      <c r="L243" s="53">
        <f t="shared" si="10"/>
        <v>44</v>
      </c>
    </row>
    <row r="244" spans="2:12" x14ac:dyDescent="0.2">
      <c r="B244" s="45" t="s">
        <v>16</v>
      </c>
      <c r="C244" s="46" t="str">
        <f>IF(B244="","",VLOOKUP(B244,ORÇAMENTO!$B$7:C236,2,0))</f>
        <v>FORRO E SANCA EM GESSO</v>
      </c>
      <c r="D244" s="46" t="s">
        <v>114</v>
      </c>
      <c r="E244" s="46" t="e">
        <f>IF(D244="","",VLOOKUP(D244,ORÇAMENTO!$B$7:$E$70,2,0))</f>
        <v>#N/A</v>
      </c>
      <c r="F244" s="46" t="s">
        <v>29</v>
      </c>
      <c r="G244" s="46" t="s">
        <v>62</v>
      </c>
      <c r="H244" s="47">
        <f t="shared" si="11"/>
        <v>10</v>
      </c>
      <c r="I244" s="48">
        <v>1.95</v>
      </c>
      <c r="J244" s="48">
        <v>1</v>
      </c>
      <c r="K244" s="49">
        <v>2.2000000000000002</v>
      </c>
      <c r="L244" s="53">
        <f t="shared" si="10"/>
        <v>42.900000000000006</v>
      </c>
    </row>
    <row r="245" spans="2:12" x14ac:dyDescent="0.2">
      <c r="B245" s="45" t="s">
        <v>16</v>
      </c>
      <c r="C245" s="46" t="str">
        <f>IF(B245="","",VLOOKUP(B245,ORÇAMENTO!$B$7:C237,2,0))</f>
        <v>FORRO E SANCA EM GESSO</v>
      </c>
      <c r="D245" s="46" t="s">
        <v>114</v>
      </c>
      <c r="E245" s="46" t="e">
        <f>IF(D245="","",VLOOKUP(D245,ORÇAMENTO!$B$7:$E$70,2,0))</f>
        <v>#N/A</v>
      </c>
      <c r="F245" s="46" t="s">
        <v>29</v>
      </c>
      <c r="G245" s="46" t="s">
        <v>63</v>
      </c>
      <c r="H245" s="47">
        <f t="shared" si="11"/>
        <v>10</v>
      </c>
      <c r="I245" s="48">
        <v>1.95</v>
      </c>
      <c r="J245" s="48">
        <v>1</v>
      </c>
      <c r="K245" s="49">
        <v>2.2000000000000002</v>
      </c>
      <c r="L245" s="53">
        <f t="shared" si="10"/>
        <v>42.900000000000006</v>
      </c>
    </row>
    <row r="246" spans="2:12" x14ac:dyDescent="0.2">
      <c r="B246" s="45" t="s">
        <v>16</v>
      </c>
      <c r="C246" s="46" t="str">
        <f>IF(B246="","",VLOOKUP(B246,ORÇAMENTO!$B$7:C238,2,0))</f>
        <v>FORRO E SANCA EM GESSO</v>
      </c>
      <c r="D246" s="46" t="s">
        <v>114</v>
      </c>
      <c r="E246" s="46" t="e">
        <f>IF(D246="","",VLOOKUP(D246,ORÇAMENTO!$B$7:$E$70,2,0))</f>
        <v>#N/A</v>
      </c>
      <c r="F246" s="46" t="s">
        <v>29</v>
      </c>
      <c r="G246" s="46" t="s">
        <v>63</v>
      </c>
      <c r="H246" s="47">
        <f t="shared" si="11"/>
        <v>10</v>
      </c>
      <c r="I246" s="48">
        <v>1.95</v>
      </c>
      <c r="J246" s="48">
        <v>1</v>
      </c>
      <c r="K246" s="49">
        <v>2.2000000000000002</v>
      </c>
      <c r="L246" s="53">
        <f t="shared" si="10"/>
        <v>42.900000000000006</v>
      </c>
    </row>
    <row r="247" spans="2:12" x14ac:dyDescent="0.2">
      <c r="B247" s="45" t="s">
        <v>16</v>
      </c>
      <c r="C247" s="46" t="str">
        <f>IF(B247="","",VLOOKUP(B247,ORÇAMENTO!$B$7:C239,2,0))</f>
        <v>FORRO E SANCA EM GESSO</v>
      </c>
      <c r="D247" s="46" t="s">
        <v>114</v>
      </c>
      <c r="E247" s="46" t="e">
        <f>IF(D247="","",VLOOKUP(D247,ORÇAMENTO!$B$7:$E$70,2,0))</f>
        <v>#N/A</v>
      </c>
      <c r="F247" s="46" t="s">
        <v>29</v>
      </c>
      <c r="G247" s="46" t="s">
        <v>64</v>
      </c>
      <c r="H247" s="47">
        <f t="shared" si="11"/>
        <v>10</v>
      </c>
      <c r="I247" s="48">
        <v>1.6</v>
      </c>
      <c r="J247" s="48">
        <v>1</v>
      </c>
      <c r="K247" s="49">
        <v>2.2000000000000002</v>
      </c>
      <c r="L247" s="53">
        <f t="shared" si="10"/>
        <v>35.200000000000003</v>
      </c>
    </row>
    <row r="248" spans="2:12" x14ac:dyDescent="0.2">
      <c r="B248" s="45" t="s">
        <v>16</v>
      </c>
      <c r="C248" s="46" t="str">
        <f>IF(B248="","",VLOOKUP(B248,ORÇAMENTO!$B$7:C240,2,0))</f>
        <v>FORRO E SANCA EM GESSO</v>
      </c>
      <c r="D248" s="46" t="s">
        <v>114</v>
      </c>
      <c r="E248" s="46" t="e">
        <f>IF(D248="","",VLOOKUP(D248,ORÇAMENTO!$B$7:$E$70,2,0))</f>
        <v>#N/A</v>
      </c>
      <c r="F248" s="46" t="s">
        <v>29</v>
      </c>
      <c r="G248" s="46" t="s">
        <v>64</v>
      </c>
      <c r="H248" s="47">
        <f t="shared" si="11"/>
        <v>10</v>
      </c>
      <c r="I248" s="48">
        <v>2.35</v>
      </c>
      <c r="J248" s="48">
        <v>1</v>
      </c>
      <c r="K248" s="49">
        <v>2.2000000000000002</v>
      </c>
      <c r="L248" s="53">
        <f t="shared" ref="L248:L279" si="12">H248*I248*J248*K248</f>
        <v>51.7</v>
      </c>
    </row>
    <row r="249" spans="2:12" x14ac:dyDescent="0.2">
      <c r="B249" s="45" t="s">
        <v>16</v>
      </c>
      <c r="C249" s="46" t="str">
        <f>IF(B249="","",VLOOKUP(B249,ORÇAMENTO!$B$7:C241,2,0))</f>
        <v>FORRO E SANCA EM GESSO</v>
      </c>
      <c r="D249" s="46" t="s">
        <v>114</v>
      </c>
      <c r="E249" s="46" t="e">
        <f>IF(D249="","",VLOOKUP(D249,ORÇAMENTO!$B$7:$E$70,2,0))</f>
        <v>#N/A</v>
      </c>
      <c r="F249" s="46" t="s">
        <v>29</v>
      </c>
      <c r="G249" s="46" t="s">
        <v>65</v>
      </c>
      <c r="H249" s="47">
        <f t="shared" si="11"/>
        <v>10</v>
      </c>
      <c r="I249" s="48">
        <v>0.95</v>
      </c>
      <c r="J249" s="48">
        <v>1</v>
      </c>
      <c r="K249" s="49">
        <v>2.2000000000000002</v>
      </c>
      <c r="L249" s="53">
        <f t="shared" si="12"/>
        <v>20.900000000000002</v>
      </c>
    </row>
    <row r="250" spans="2:12" x14ac:dyDescent="0.2">
      <c r="B250" s="45" t="s">
        <v>16</v>
      </c>
      <c r="C250" s="46" t="str">
        <f>IF(B250="","",VLOOKUP(B250,ORÇAMENTO!$B$7:C242,2,0))</f>
        <v>FORRO E SANCA EM GESSO</v>
      </c>
      <c r="D250" s="46" t="s">
        <v>114</v>
      </c>
      <c r="E250" s="46" t="e">
        <f>IF(D250="","",VLOOKUP(D250,ORÇAMENTO!$B$7:$E$70,2,0))</f>
        <v>#N/A</v>
      </c>
      <c r="F250" s="46" t="s">
        <v>29</v>
      </c>
      <c r="G250" s="46" t="s">
        <v>65</v>
      </c>
      <c r="H250" s="47">
        <f t="shared" si="11"/>
        <v>10</v>
      </c>
      <c r="I250" s="48">
        <v>1.6</v>
      </c>
      <c r="J250" s="48">
        <v>1</v>
      </c>
      <c r="K250" s="49">
        <v>2.2000000000000002</v>
      </c>
      <c r="L250" s="53">
        <f t="shared" si="12"/>
        <v>35.200000000000003</v>
      </c>
    </row>
    <row r="251" spans="2:12" x14ac:dyDescent="0.2">
      <c r="B251" s="45" t="s">
        <v>16</v>
      </c>
      <c r="C251" s="46" t="str">
        <f>IF(B251="","",VLOOKUP(B251,ORÇAMENTO!$B$7:C243,2,0))</f>
        <v>FORRO E SANCA EM GESSO</v>
      </c>
      <c r="D251" s="46" t="s">
        <v>114</v>
      </c>
      <c r="E251" s="46" t="e">
        <f>IF(D251="","",VLOOKUP(D251,ORÇAMENTO!$B$7:$E$70,2,0))</f>
        <v>#N/A</v>
      </c>
      <c r="F251" s="46" t="s">
        <v>34</v>
      </c>
      <c r="G251" s="46" t="s">
        <v>59</v>
      </c>
      <c r="H251" s="47">
        <f t="shared" si="11"/>
        <v>10</v>
      </c>
      <c r="I251" s="48">
        <v>2.4500000000000002</v>
      </c>
      <c r="J251" s="48">
        <v>1</v>
      </c>
      <c r="K251" s="49">
        <v>2.8</v>
      </c>
      <c r="L251" s="53">
        <f t="shared" si="12"/>
        <v>68.599999999999994</v>
      </c>
    </row>
    <row r="252" spans="2:12" x14ac:dyDescent="0.2">
      <c r="B252" s="45" t="s">
        <v>16</v>
      </c>
      <c r="C252" s="46" t="str">
        <f>IF(B252="","",VLOOKUP(B252,ORÇAMENTO!$B$7:C244,2,0))</f>
        <v>FORRO E SANCA EM GESSO</v>
      </c>
      <c r="D252" s="46" t="s">
        <v>114</v>
      </c>
      <c r="E252" s="46" t="e">
        <f>IF(D252="","",VLOOKUP(D252,ORÇAMENTO!$B$7:$E$70,2,0))</f>
        <v>#N/A</v>
      </c>
      <c r="F252" s="46" t="s">
        <v>34</v>
      </c>
      <c r="G252" s="46" t="s">
        <v>59</v>
      </c>
      <c r="H252" s="47">
        <f t="shared" si="11"/>
        <v>10</v>
      </c>
      <c r="I252" s="48">
        <v>1.5</v>
      </c>
      <c r="J252" s="48">
        <v>1</v>
      </c>
      <c r="K252" s="49">
        <v>2.8</v>
      </c>
      <c r="L252" s="53">
        <f t="shared" si="12"/>
        <v>42</v>
      </c>
    </row>
    <row r="253" spans="2:12" x14ac:dyDescent="0.2">
      <c r="B253" s="45" t="s">
        <v>16</v>
      </c>
      <c r="C253" s="46" t="str">
        <f>IF(B253="","",VLOOKUP(B253,ORÇAMENTO!$B$7:C245,2,0))</f>
        <v>FORRO E SANCA EM GESSO</v>
      </c>
      <c r="D253" s="46" t="s">
        <v>114</v>
      </c>
      <c r="E253" s="46" t="e">
        <f>IF(D253="","",VLOOKUP(D253,ORÇAMENTO!$B$7:$E$70,2,0))</f>
        <v>#N/A</v>
      </c>
      <c r="F253" s="46" t="s">
        <v>34</v>
      </c>
      <c r="G253" s="46" t="s">
        <v>60</v>
      </c>
      <c r="H253" s="47">
        <f t="shared" si="11"/>
        <v>10</v>
      </c>
      <c r="I253" s="48">
        <v>3.25</v>
      </c>
      <c r="J253" s="48">
        <v>1</v>
      </c>
      <c r="K253" s="49">
        <v>2.8</v>
      </c>
      <c r="L253" s="53">
        <f t="shared" si="12"/>
        <v>91</v>
      </c>
    </row>
    <row r="254" spans="2:12" x14ac:dyDescent="0.2">
      <c r="B254" s="45" t="s">
        <v>16</v>
      </c>
      <c r="C254" s="46" t="str">
        <f>IF(B254="","",VLOOKUP(B254,ORÇAMENTO!$B$7:C246,2,0))</f>
        <v>FORRO E SANCA EM GESSO</v>
      </c>
      <c r="D254" s="46" t="s">
        <v>114</v>
      </c>
      <c r="E254" s="46" t="e">
        <f>IF(D254="","",VLOOKUP(D254,ORÇAMENTO!$B$7:$E$70,2,0))</f>
        <v>#N/A</v>
      </c>
      <c r="F254" s="46" t="s">
        <v>34</v>
      </c>
      <c r="G254" s="46" t="s">
        <v>60</v>
      </c>
      <c r="H254" s="47">
        <f t="shared" si="11"/>
        <v>10</v>
      </c>
      <c r="I254" s="48">
        <v>3.35</v>
      </c>
      <c r="J254" s="48">
        <v>1</v>
      </c>
      <c r="K254" s="49">
        <v>2.8</v>
      </c>
      <c r="L254" s="53">
        <f t="shared" si="12"/>
        <v>93.8</v>
      </c>
    </row>
    <row r="255" spans="2:12" x14ac:dyDescent="0.2">
      <c r="B255" s="45" t="s">
        <v>16</v>
      </c>
      <c r="C255" s="46" t="str">
        <f>IF(B255="","",VLOOKUP(B255,ORÇAMENTO!$B$7:C247,2,0))</f>
        <v>FORRO E SANCA EM GESSO</v>
      </c>
      <c r="D255" s="46" t="s">
        <v>114</v>
      </c>
      <c r="E255" s="46" t="e">
        <f>IF(D255="","",VLOOKUP(D255,ORÇAMENTO!$B$7:$E$70,2,0))</f>
        <v>#N/A</v>
      </c>
      <c r="F255" s="46" t="s">
        <v>34</v>
      </c>
      <c r="G255" s="46" t="s">
        <v>61</v>
      </c>
      <c r="H255" s="47">
        <f t="shared" si="11"/>
        <v>10</v>
      </c>
      <c r="I255" s="48">
        <v>1.5</v>
      </c>
      <c r="J255" s="48">
        <v>1</v>
      </c>
      <c r="K255" s="49">
        <v>2.8</v>
      </c>
      <c r="L255" s="53">
        <f t="shared" si="12"/>
        <v>42</v>
      </c>
    </row>
    <row r="256" spans="2:12" x14ac:dyDescent="0.2">
      <c r="B256" s="45" t="s">
        <v>16</v>
      </c>
      <c r="C256" s="46" t="str">
        <f>IF(B256="","",VLOOKUP(B256,ORÇAMENTO!$B$7:C248,2,0))</f>
        <v>FORRO E SANCA EM GESSO</v>
      </c>
      <c r="D256" s="46" t="s">
        <v>114</v>
      </c>
      <c r="E256" s="46" t="e">
        <f>IF(D256="","",VLOOKUP(D256,ORÇAMENTO!$B$7:$E$70,2,0))</f>
        <v>#N/A</v>
      </c>
      <c r="F256" s="46" t="s">
        <v>34</v>
      </c>
      <c r="G256" s="46" t="s">
        <v>61</v>
      </c>
      <c r="H256" s="47">
        <f t="shared" si="11"/>
        <v>10</v>
      </c>
      <c r="I256" s="48">
        <v>1.1499999999999999</v>
      </c>
      <c r="J256" s="48">
        <v>1</v>
      </c>
      <c r="K256" s="49">
        <v>2.8</v>
      </c>
      <c r="L256" s="53">
        <f t="shared" si="12"/>
        <v>32.199999999999996</v>
      </c>
    </row>
    <row r="257" spans="2:12" x14ac:dyDescent="0.2">
      <c r="B257" s="45" t="s">
        <v>16</v>
      </c>
      <c r="C257" s="46" t="str">
        <f>IF(B257="","",VLOOKUP(B257,ORÇAMENTO!$B$7:C249,2,0))</f>
        <v>FORRO E SANCA EM GESSO</v>
      </c>
      <c r="D257" s="46" t="s">
        <v>114</v>
      </c>
      <c r="E257" s="46" t="e">
        <f>IF(D257="","",VLOOKUP(D257,ORÇAMENTO!$B$7:$E$70,2,0))</f>
        <v>#N/A</v>
      </c>
      <c r="F257" s="46" t="s">
        <v>34</v>
      </c>
      <c r="G257" s="46" t="s">
        <v>62</v>
      </c>
      <c r="H257" s="47">
        <f t="shared" si="11"/>
        <v>10</v>
      </c>
      <c r="I257" s="48">
        <v>2</v>
      </c>
      <c r="J257" s="48">
        <v>1</v>
      </c>
      <c r="K257" s="49">
        <v>2.2000000000000002</v>
      </c>
      <c r="L257" s="53">
        <f t="shared" si="12"/>
        <v>44</v>
      </c>
    </row>
    <row r="258" spans="2:12" x14ac:dyDescent="0.2">
      <c r="B258" s="45" t="s">
        <v>16</v>
      </c>
      <c r="C258" s="46" t="str">
        <f>IF(B258="","",VLOOKUP(B258,ORÇAMENTO!$B$7:C250,2,0))</f>
        <v>FORRO E SANCA EM GESSO</v>
      </c>
      <c r="D258" s="46" t="s">
        <v>114</v>
      </c>
      <c r="E258" s="46" t="e">
        <f>IF(D258="","",VLOOKUP(D258,ORÇAMENTO!$B$7:$E$70,2,0))</f>
        <v>#N/A</v>
      </c>
      <c r="F258" s="46" t="s">
        <v>34</v>
      </c>
      <c r="G258" s="46" t="s">
        <v>62</v>
      </c>
      <c r="H258" s="47">
        <f t="shared" si="11"/>
        <v>10</v>
      </c>
      <c r="I258" s="48">
        <v>1.95</v>
      </c>
      <c r="J258" s="48">
        <v>1</v>
      </c>
      <c r="K258" s="49">
        <v>2.2000000000000002</v>
      </c>
      <c r="L258" s="53">
        <f t="shared" si="12"/>
        <v>42.900000000000006</v>
      </c>
    </row>
    <row r="259" spans="2:12" x14ac:dyDescent="0.2">
      <c r="B259" s="45" t="s">
        <v>16</v>
      </c>
      <c r="C259" s="46" t="str">
        <f>IF(B259="","",VLOOKUP(B259,ORÇAMENTO!$B$7:C251,2,0))</f>
        <v>FORRO E SANCA EM GESSO</v>
      </c>
      <c r="D259" s="46" t="s">
        <v>114</v>
      </c>
      <c r="E259" s="46" t="e">
        <f>IF(D259="","",VLOOKUP(D259,ORÇAMENTO!$B$7:$E$70,2,0))</f>
        <v>#N/A</v>
      </c>
      <c r="F259" s="46" t="s">
        <v>34</v>
      </c>
      <c r="G259" s="46" t="s">
        <v>63</v>
      </c>
      <c r="H259" s="47">
        <f t="shared" si="11"/>
        <v>10</v>
      </c>
      <c r="I259" s="48">
        <v>1.95</v>
      </c>
      <c r="J259" s="48">
        <v>1</v>
      </c>
      <c r="K259" s="49">
        <v>2.2000000000000002</v>
      </c>
      <c r="L259" s="53">
        <f t="shared" si="12"/>
        <v>42.900000000000006</v>
      </c>
    </row>
    <row r="260" spans="2:12" x14ac:dyDescent="0.2">
      <c r="B260" s="45" t="s">
        <v>16</v>
      </c>
      <c r="C260" s="46" t="str">
        <f>IF(B260="","",VLOOKUP(B260,ORÇAMENTO!$B$7:C252,2,0))</f>
        <v>FORRO E SANCA EM GESSO</v>
      </c>
      <c r="D260" s="46" t="s">
        <v>114</v>
      </c>
      <c r="E260" s="46" t="e">
        <f>IF(D260="","",VLOOKUP(D260,ORÇAMENTO!$B$7:$E$70,2,0))</f>
        <v>#N/A</v>
      </c>
      <c r="F260" s="46" t="s">
        <v>34</v>
      </c>
      <c r="G260" s="46" t="s">
        <v>63</v>
      </c>
      <c r="H260" s="47">
        <f t="shared" si="11"/>
        <v>10</v>
      </c>
      <c r="I260" s="48">
        <v>1.95</v>
      </c>
      <c r="J260" s="48">
        <v>1</v>
      </c>
      <c r="K260" s="49">
        <v>2.2000000000000002</v>
      </c>
      <c r="L260" s="53">
        <f t="shared" si="12"/>
        <v>42.900000000000006</v>
      </c>
    </row>
    <row r="261" spans="2:12" x14ac:dyDescent="0.2">
      <c r="B261" s="45" t="s">
        <v>16</v>
      </c>
      <c r="C261" s="46" t="str">
        <f>IF(B261="","",VLOOKUP(B261,ORÇAMENTO!$B$7:C253,2,0))</f>
        <v>FORRO E SANCA EM GESSO</v>
      </c>
      <c r="D261" s="46" t="s">
        <v>114</v>
      </c>
      <c r="E261" s="46" t="e">
        <f>IF(D261="","",VLOOKUP(D261,ORÇAMENTO!$B$7:$E$70,2,0))</f>
        <v>#N/A</v>
      </c>
      <c r="F261" s="46" t="s">
        <v>34</v>
      </c>
      <c r="G261" s="46" t="s">
        <v>64</v>
      </c>
      <c r="H261" s="47">
        <f t="shared" si="11"/>
        <v>10</v>
      </c>
      <c r="I261" s="48">
        <v>1.6</v>
      </c>
      <c r="J261" s="48">
        <v>1</v>
      </c>
      <c r="K261" s="49">
        <v>2.2000000000000002</v>
      </c>
      <c r="L261" s="53">
        <f t="shared" si="12"/>
        <v>35.200000000000003</v>
      </c>
    </row>
    <row r="262" spans="2:12" x14ac:dyDescent="0.2">
      <c r="B262" s="45" t="s">
        <v>16</v>
      </c>
      <c r="C262" s="46" t="str">
        <f>IF(B262="","",VLOOKUP(B262,ORÇAMENTO!$B$7:C254,2,0))</f>
        <v>FORRO E SANCA EM GESSO</v>
      </c>
      <c r="D262" s="46" t="s">
        <v>114</v>
      </c>
      <c r="E262" s="46" t="e">
        <f>IF(D262="","",VLOOKUP(D262,ORÇAMENTO!$B$7:$E$70,2,0))</f>
        <v>#N/A</v>
      </c>
      <c r="F262" s="46" t="s">
        <v>34</v>
      </c>
      <c r="G262" s="46" t="s">
        <v>64</v>
      </c>
      <c r="H262" s="47">
        <f t="shared" si="11"/>
        <v>10</v>
      </c>
      <c r="I262" s="48">
        <v>2.35</v>
      </c>
      <c r="J262" s="48">
        <v>1</v>
      </c>
      <c r="K262" s="49">
        <v>2.2000000000000002</v>
      </c>
      <c r="L262" s="53">
        <f t="shared" si="12"/>
        <v>51.7</v>
      </c>
    </row>
    <row r="263" spans="2:12" x14ac:dyDescent="0.2">
      <c r="B263" s="45" t="s">
        <v>16</v>
      </c>
      <c r="C263" s="46" t="str">
        <f>IF(B263="","",VLOOKUP(B263,ORÇAMENTO!$B$7:C255,2,0))</f>
        <v>FORRO E SANCA EM GESSO</v>
      </c>
      <c r="D263" s="46" t="s">
        <v>114</v>
      </c>
      <c r="E263" s="46" t="e">
        <f>IF(D263="","",VLOOKUP(D263,ORÇAMENTO!$B$7:$E$70,2,0))</f>
        <v>#N/A</v>
      </c>
      <c r="F263" s="46" t="s">
        <v>34</v>
      </c>
      <c r="G263" s="46" t="s">
        <v>65</v>
      </c>
      <c r="H263" s="47">
        <f t="shared" si="11"/>
        <v>10</v>
      </c>
      <c r="I263" s="48">
        <v>0.95</v>
      </c>
      <c r="J263" s="48">
        <v>1</v>
      </c>
      <c r="K263" s="49">
        <v>2.2000000000000002</v>
      </c>
      <c r="L263" s="53">
        <f t="shared" si="12"/>
        <v>20.900000000000002</v>
      </c>
    </row>
    <row r="264" spans="2:12" x14ac:dyDescent="0.2">
      <c r="B264" s="45" t="s">
        <v>16</v>
      </c>
      <c r="C264" s="46" t="str">
        <f>IF(B264="","",VLOOKUP(B264,ORÇAMENTO!$B$7:C256,2,0))</f>
        <v>FORRO E SANCA EM GESSO</v>
      </c>
      <c r="D264" s="46" t="s">
        <v>114</v>
      </c>
      <c r="E264" s="46" t="e">
        <f>IF(D264="","",VLOOKUP(D264,ORÇAMENTO!$B$7:$E$70,2,0))</f>
        <v>#N/A</v>
      </c>
      <c r="F264" s="46" t="s">
        <v>34</v>
      </c>
      <c r="G264" s="46" t="s">
        <v>65</v>
      </c>
      <c r="H264" s="47">
        <f t="shared" si="11"/>
        <v>10</v>
      </c>
      <c r="I264" s="48">
        <v>1.6</v>
      </c>
      <c r="J264" s="48">
        <v>1</v>
      </c>
      <c r="K264" s="49">
        <v>2.2000000000000002</v>
      </c>
      <c r="L264" s="53">
        <f t="shared" si="12"/>
        <v>35.200000000000003</v>
      </c>
    </row>
    <row r="265" spans="2:12" x14ac:dyDescent="0.2">
      <c r="B265" s="45" t="s">
        <v>16</v>
      </c>
      <c r="C265" s="46" t="str">
        <f>IF(B265="","",VLOOKUP(B265,ORÇAMENTO!$B$7:C257,2,0))</f>
        <v>FORRO E SANCA EM GESSO</v>
      </c>
      <c r="D265" s="46" t="s">
        <v>114</v>
      </c>
      <c r="E265" s="46" t="e">
        <f>IF(D265="","",VLOOKUP(D265,ORÇAMENTO!$B$7:$E$70,2,0))</f>
        <v>#N/A</v>
      </c>
      <c r="F265" s="46" t="s">
        <v>15</v>
      </c>
      <c r="G265" s="46"/>
      <c r="H265" s="47">
        <v>1</v>
      </c>
      <c r="I265" s="48">
        <v>15.89</v>
      </c>
      <c r="J265" s="48">
        <v>1</v>
      </c>
      <c r="K265" s="49">
        <v>2.15</v>
      </c>
      <c r="L265" s="53">
        <f t="shared" si="12"/>
        <v>34.163499999999999</v>
      </c>
    </row>
    <row r="266" spans="2:12" x14ac:dyDescent="0.2">
      <c r="B266" s="36" t="s">
        <v>17</v>
      </c>
      <c r="C266" s="37" t="s">
        <v>225</v>
      </c>
      <c r="D266" s="37" t="s">
        <v>115</v>
      </c>
      <c r="E266" s="37" t="str">
        <f>IF(D266="","",VLOOKUP(D266,ORÇAMENTO!$B$7:$E$70,2,0))</f>
        <v>Pintura Acrílica c/ emassamento</v>
      </c>
      <c r="F266" s="37" t="s">
        <v>31</v>
      </c>
      <c r="G266" s="37" t="s">
        <v>43</v>
      </c>
      <c r="H266" s="58">
        <v>1</v>
      </c>
      <c r="I266" s="40">
        <v>72.989999999999995</v>
      </c>
      <c r="J266" s="40">
        <v>1</v>
      </c>
      <c r="K266" s="41">
        <v>3</v>
      </c>
      <c r="L266" s="42">
        <f t="shared" si="12"/>
        <v>218.96999999999997</v>
      </c>
    </row>
    <row r="267" spans="2:12" x14ac:dyDescent="0.2">
      <c r="B267" s="36" t="s">
        <v>17</v>
      </c>
      <c r="C267" s="37" t="s">
        <v>225</v>
      </c>
      <c r="D267" s="37" t="s">
        <v>115</v>
      </c>
      <c r="E267" s="37" t="str">
        <f>IF(D267="","",VLOOKUP(D267,ORÇAMENTO!$B$7:$E$70,2,0))</f>
        <v>Pintura Acrílica c/ emassamento</v>
      </c>
      <c r="F267" s="37" t="s">
        <v>28</v>
      </c>
      <c r="G267" s="37" t="s">
        <v>43</v>
      </c>
      <c r="H267" s="58">
        <v>1</v>
      </c>
      <c r="I267" s="40">
        <v>46.44</v>
      </c>
      <c r="J267" s="40">
        <v>1</v>
      </c>
      <c r="K267" s="41">
        <v>3</v>
      </c>
      <c r="L267" s="42">
        <f t="shared" si="12"/>
        <v>139.32</v>
      </c>
    </row>
    <row r="268" spans="2:12" x14ac:dyDescent="0.2">
      <c r="B268" s="36" t="s">
        <v>17</v>
      </c>
      <c r="C268" s="37" t="s">
        <v>225</v>
      </c>
      <c r="D268" s="37" t="s">
        <v>115</v>
      </c>
      <c r="E268" s="37" t="str">
        <f>IF(D268="","",VLOOKUP(D268,ORÇAMENTO!$B$7:$E$70,2,0))</f>
        <v>Pintura Acrílica c/ emassamento</v>
      </c>
      <c r="F268" s="37" t="s">
        <v>28</v>
      </c>
      <c r="G268" s="37" t="s">
        <v>43</v>
      </c>
      <c r="H268" s="58">
        <v>1</v>
      </c>
      <c r="I268" s="40">
        <v>36.85</v>
      </c>
      <c r="J268" s="40">
        <v>1</v>
      </c>
      <c r="K268" s="41">
        <v>1.8</v>
      </c>
      <c r="L268" s="42">
        <f t="shared" si="12"/>
        <v>66.33</v>
      </c>
    </row>
    <row r="269" spans="2:12" x14ac:dyDescent="0.2">
      <c r="B269" s="36" t="s">
        <v>17</v>
      </c>
      <c r="C269" s="37" t="s">
        <v>225</v>
      </c>
      <c r="D269" s="37" t="s">
        <v>115</v>
      </c>
      <c r="E269" s="37" t="str">
        <f>IF(D269="","",VLOOKUP(D269,ORÇAMENTO!$B$7:$E$70,2,0))</f>
        <v>Pintura Acrílica c/ emassamento</v>
      </c>
      <c r="F269" s="37" t="s">
        <v>28</v>
      </c>
      <c r="G269" s="37" t="s">
        <v>43</v>
      </c>
      <c r="H269" s="58">
        <v>1</v>
      </c>
      <c r="I269" s="40">
        <v>9.8699999999999992</v>
      </c>
      <c r="J269" s="40">
        <v>1</v>
      </c>
      <c r="K269" s="41">
        <v>1</v>
      </c>
      <c r="L269" s="42">
        <f t="shared" si="12"/>
        <v>9.8699999999999992</v>
      </c>
    </row>
    <row r="270" spans="2:12" x14ac:dyDescent="0.2">
      <c r="B270" s="36" t="s">
        <v>17</v>
      </c>
      <c r="C270" s="37" t="s">
        <v>225</v>
      </c>
      <c r="D270" s="37" t="s">
        <v>115</v>
      </c>
      <c r="E270" s="37" t="str">
        <f>IF(D270="","",VLOOKUP(D270,ORÇAMENTO!$B$7:$E$70,2,0))</f>
        <v>Pintura Acrílica c/ emassamento</v>
      </c>
      <c r="F270" s="37" t="s">
        <v>29</v>
      </c>
      <c r="G270" s="37" t="s">
        <v>43</v>
      </c>
      <c r="H270" s="58">
        <v>5</v>
      </c>
      <c r="I270" s="40">
        <v>58.6</v>
      </c>
      <c r="J270" s="40">
        <v>1</v>
      </c>
      <c r="K270" s="41">
        <v>2.75</v>
      </c>
      <c r="L270" s="42">
        <f t="shared" si="12"/>
        <v>805.75</v>
      </c>
    </row>
    <row r="271" spans="2:12" x14ac:dyDescent="0.2">
      <c r="B271" s="36" t="s">
        <v>17</v>
      </c>
      <c r="C271" s="37" t="s">
        <v>225</v>
      </c>
      <c r="D271" s="37" t="s">
        <v>115</v>
      </c>
      <c r="E271" s="37" t="str">
        <f>IF(D271="","",VLOOKUP(D271,ORÇAMENTO!$B$7:$E$70,2,0))</f>
        <v>Pintura Acrílica c/ emassamento</v>
      </c>
      <c r="F271" s="37" t="s">
        <v>29</v>
      </c>
      <c r="G271" s="37" t="s">
        <v>43</v>
      </c>
      <c r="H271" s="58">
        <v>5</v>
      </c>
      <c r="I271" s="40">
        <v>22.85</v>
      </c>
      <c r="J271" s="40">
        <v>1</v>
      </c>
      <c r="K271" s="41">
        <v>1</v>
      </c>
      <c r="L271" s="42">
        <f t="shared" si="12"/>
        <v>114.25</v>
      </c>
    </row>
    <row r="272" spans="2:12" x14ac:dyDescent="0.2">
      <c r="B272" s="36" t="s">
        <v>17</v>
      </c>
      <c r="C272" s="37" t="s">
        <v>225</v>
      </c>
      <c r="D272" s="37" t="s">
        <v>115</v>
      </c>
      <c r="E272" s="37" t="str">
        <f>IF(D272="","",VLOOKUP(D272,ORÇAMENTO!$B$7:$E$70,2,0))</f>
        <v>Pintura Acrílica c/ emassamento</v>
      </c>
      <c r="F272" s="37" t="s">
        <v>34</v>
      </c>
      <c r="G272" s="37" t="s">
        <v>43</v>
      </c>
      <c r="H272" s="58">
        <v>1</v>
      </c>
      <c r="I272" s="40">
        <v>58.6</v>
      </c>
      <c r="J272" s="40">
        <v>1</v>
      </c>
      <c r="K272" s="41">
        <v>2.75</v>
      </c>
      <c r="L272" s="42">
        <f t="shared" si="12"/>
        <v>161.15</v>
      </c>
    </row>
    <row r="273" spans="2:12" x14ac:dyDescent="0.2">
      <c r="B273" s="36" t="s">
        <v>17</v>
      </c>
      <c r="C273" s="37" t="s">
        <v>225</v>
      </c>
      <c r="D273" s="37" t="s">
        <v>115</v>
      </c>
      <c r="E273" s="37" t="str">
        <f>IF(D273="","",VLOOKUP(D273,ORÇAMENTO!$B$7:$E$70,2,0))</f>
        <v>Pintura Acrílica c/ emassamento</v>
      </c>
      <c r="F273" s="37" t="s">
        <v>34</v>
      </c>
      <c r="G273" s="37" t="s">
        <v>43</v>
      </c>
      <c r="H273" s="58">
        <v>1</v>
      </c>
      <c r="I273" s="40">
        <v>22.85</v>
      </c>
      <c r="J273" s="40">
        <v>1</v>
      </c>
      <c r="K273" s="41">
        <v>1</v>
      </c>
      <c r="L273" s="42">
        <f t="shared" si="12"/>
        <v>22.85</v>
      </c>
    </row>
    <row r="274" spans="2:12" x14ac:dyDescent="0.2">
      <c r="B274" s="36" t="s">
        <v>17</v>
      </c>
      <c r="C274" s="37" t="s">
        <v>225</v>
      </c>
      <c r="D274" s="37" t="s">
        <v>116</v>
      </c>
      <c r="E274" s="37" t="str">
        <f>IF(D274="","",VLOOKUP(D274,ORÇAMENTO!$B$7:$E$70,2,0))</f>
        <v>Demarcação de vagas</v>
      </c>
      <c r="F274" s="37" t="s">
        <v>31</v>
      </c>
      <c r="G274" s="37" t="s">
        <v>43</v>
      </c>
      <c r="H274" s="58">
        <v>1</v>
      </c>
      <c r="I274" s="40">
        <v>72.989999999999995</v>
      </c>
      <c r="J274" s="40">
        <v>1</v>
      </c>
      <c r="K274" s="41">
        <v>3</v>
      </c>
      <c r="L274" s="42">
        <f t="shared" si="12"/>
        <v>218.96999999999997</v>
      </c>
    </row>
    <row r="275" spans="2:12" x14ac:dyDescent="0.2">
      <c r="B275" s="36" t="s">
        <v>17</v>
      </c>
      <c r="C275" s="37" t="s">
        <v>225</v>
      </c>
      <c r="D275" s="37" t="s">
        <v>116</v>
      </c>
      <c r="E275" s="37" t="str">
        <f>IF(D275="","",VLOOKUP(D275,ORÇAMENTO!$B$7:$E$70,2,0))</f>
        <v>Demarcação de vagas</v>
      </c>
      <c r="F275" s="37" t="s">
        <v>28</v>
      </c>
      <c r="G275" s="37" t="s">
        <v>43</v>
      </c>
      <c r="H275" s="58">
        <v>1</v>
      </c>
      <c r="I275" s="40">
        <v>46.44</v>
      </c>
      <c r="J275" s="40">
        <v>1</v>
      </c>
      <c r="K275" s="41">
        <v>3</v>
      </c>
      <c r="L275" s="42">
        <f t="shared" si="12"/>
        <v>139.32</v>
      </c>
    </row>
    <row r="276" spans="2:12" x14ac:dyDescent="0.2">
      <c r="B276" s="36" t="s">
        <v>17</v>
      </c>
      <c r="C276" s="37" t="s">
        <v>225</v>
      </c>
      <c r="D276" s="37" t="s">
        <v>116</v>
      </c>
      <c r="E276" s="37" t="str">
        <f>IF(D276="","",VLOOKUP(D276,ORÇAMENTO!$B$7:$E$70,2,0))</f>
        <v>Demarcação de vagas</v>
      </c>
      <c r="F276" s="37" t="s">
        <v>28</v>
      </c>
      <c r="G276" s="37" t="s">
        <v>43</v>
      </c>
      <c r="H276" s="58">
        <v>1</v>
      </c>
      <c r="I276" s="40">
        <v>36.85</v>
      </c>
      <c r="J276" s="40">
        <v>1</v>
      </c>
      <c r="K276" s="41">
        <v>1.8</v>
      </c>
      <c r="L276" s="42">
        <f t="shared" si="12"/>
        <v>66.33</v>
      </c>
    </row>
    <row r="277" spans="2:12" x14ac:dyDescent="0.2">
      <c r="B277" s="36" t="s">
        <v>17</v>
      </c>
      <c r="C277" s="37" t="s">
        <v>225</v>
      </c>
      <c r="D277" s="37" t="s">
        <v>116</v>
      </c>
      <c r="E277" s="37" t="str">
        <f>IF(D277="","",VLOOKUP(D277,ORÇAMENTO!$B$7:$E$70,2,0))</f>
        <v>Demarcação de vagas</v>
      </c>
      <c r="F277" s="37" t="s">
        <v>28</v>
      </c>
      <c r="G277" s="37" t="s">
        <v>43</v>
      </c>
      <c r="H277" s="58">
        <v>1</v>
      </c>
      <c r="I277" s="40">
        <v>9.8699999999999992</v>
      </c>
      <c r="J277" s="40">
        <v>1</v>
      </c>
      <c r="K277" s="41">
        <v>1</v>
      </c>
      <c r="L277" s="42">
        <f t="shared" si="12"/>
        <v>9.8699999999999992</v>
      </c>
    </row>
    <row r="278" spans="2:12" x14ac:dyDescent="0.2">
      <c r="B278" s="36" t="s">
        <v>17</v>
      </c>
      <c r="C278" s="37" t="s">
        <v>225</v>
      </c>
      <c r="D278" s="37" t="s">
        <v>116</v>
      </c>
      <c r="E278" s="37" t="str">
        <f>IF(D278="","",VLOOKUP(D278,ORÇAMENTO!$B$7:$E$70,2,0))</f>
        <v>Demarcação de vagas</v>
      </c>
      <c r="F278" s="37" t="s">
        <v>29</v>
      </c>
      <c r="G278" s="37" t="s">
        <v>43</v>
      </c>
      <c r="H278" s="58">
        <v>5</v>
      </c>
      <c r="I278" s="40">
        <v>58.6</v>
      </c>
      <c r="J278" s="40">
        <v>1</v>
      </c>
      <c r="K278" s="41">
        <v>2.75</v>
      </c>
      <c r="L278" s="42">
        <f t="shared" si="12"/>
        <v>805.75</v>
      </c>
    </row>
    <row r="279" spans="2:12" x14ac:dyDescent="0.2">
      <c r="B279" s="36" t="s">
        <v>17</v>
      </c>
      <c r="C279" s="37" t="s">
        <v>225</v>
      </c>
      <c r="D279" s="37" t="s">
        <v>116</v>
      </c>
      <c r="E279" s="37" t="str">
        <f>IF(D279="","",VLOOKUP(D279,ORÇAMENTO!$B$7:$E$70,2,0))</f>
        <v>Demarcação de vagas</v>
      </c>
      <c r="F279" s="37" t="s">
        <v>29</v>
      </c>
      <c r="G279" s="37" t="s">
        <v>43</v>
      </c>
      <c r="H279" s="58">
        <v>5</v>
      </c>
      <c r="I279" s="40">
        <v>22.85</v>
      </c>
      <c r="J279" s="40">
        <v>1</v>
      </c>
      <c r="K279" s="41">
        <v>1</v>
      </c>
      <c r="L279" s="42">
        <f t="shared" si="12"/>
        <v>114.25</v>
      </c>
    </row>
    <row r="280" spans="2:12" x14ac:dyDescent="0.2">
      <c r="B280" s="36" t="s">
        <v>17</v>
      </c>
      <c r="C280" s="37" t="s">
        <v>225</v>
      </c>
      <c r="D280" s="37" t="s">
        <v>116</v>
      </c>
      <c r="E280" s="37" t="str">
        <f>IF(D280="","",VLOOKUP(D280,ORÇAMENTO!$B$7:$E$70,2,0))</f>
        <v>Demarcação de vagas</v>
      </c>
      <c r="F280" s="37" t="s">
        <v>34</v>
      </c>
      <c r="G280" s="37" t="s">
        <v>43</v>
      </c>
      <c r="H280" s="58">
        <v>2</v>
      </c>
      <c r="I280" s="40">
        <v>58.6</v>
      </c>
      <c r="J280" s="40">
        <v>1</v>
      </c>
      <c r="K280" s="41">
        <v>2.8</v>
      </c>
      <c r="L280" s="42">
        <f t="shared" ref="L280:L302" si="13">H280*I280*J280*K280</f>
        <v>328.15999999999997</v>
      </c>
    </row>
    <row r="281" spans="2:12" x14ac:dyDescent="0.2">
      <c r="B281" s="36" t="s">
        <v>17</v>
      </c>
      <c r="C281" s="37" t="s">
        <v>225</v>
      </c>
      <c r="D281" s="37" t="s">
        <v>116</v>
      </c>
      <c r="E281" s="37" t="str">
        <f>IF(D281="","",VLOOKUP(D281,ORÇAMENTO!$B$7:$E$70,2,0))</f>
        <v>Demarcação de vagas</v>
      </c>
      <c r="F281" s="37" t="s">
        <v>34</v>
      </c>
      <c r="G281" s="37" t="s">
        <v>43</v>
      </c>
      <c r="H281" s="58">
        <v>1</v>
      </c>
      <c r="I281" s="40">
        <v>22.85</v>
      </c>
      <c r="J281" s="40">
        <v>1</v>
      </c>
      <c r="K281" s="41">
        <v>2.8</v>
      </c>
      <c r="L281" s="42">
        <f t="shared" si="13"/>
        <v>63.98</v>
      </c>
    </row>
    <row r="282" spans="2:12" x14ac:dyDescent="0.2">
      <c r="B282" s="36" t="s">
        <v>17</v>
      </c>
      <c r="C282" s="37" t="str">
        <f>IF(B282="","",VLOOKUP(B282,ORÇAMENTO!$B$7:C169,2,0))</f>
        <v>PINTURA</v>
      </c>
      <c r="D282" s="37" t="s">
        <v>117</v>
      </c>
      <c r="E282" s="37" t="e">
        <f>IF(D282="","",VLOOKUP(D282,ORÇAMENTO!$B$7:$E$70,2,0))</f>
        <v>#N/A</v>
      </c>
      <c r="F282" s="37" t="s">
        <v>31</v>
      </c>
      <c r="G282" s="37" t="s">
        <v>43</v>
      </c>
      <c r="H282" s="58">
        <v>1</v>
      </c>
      <c r="I282" s="40">
        <v>72.989999999999995</v>
      </c>
      <c r="J282" s="40">
        <v>1</v>
      </c>
      <c r="K282" s="41">
        <v>3</v>
      </c>
      <c r="L282" s="42">
        <f t="shared" si="13"/>
        <v>218.96999999999997</v>
      </c>
    </row>
    <row r="283" spans="2:12" x14ac:dyDescent="0.2">
      <c r="B283" s="36" t="s">
        <v>17</v>
      </c>
      <c r="C283" s="37" t="str">
        <f>IF(B283="","",VLOOKUP(B283,ORÇAMENTO!$B$7:C177,2,0))</f>
        <v>PINTURA</v>
      </c>
      <c r="D283" s="37" t="s">
        <v>117</v>
      </c>
      <c r="E283" s="37" t="e">
        <f>IF(D283="","",VLOOKUP(D283,ORÇAMENTO!$B$7:$E$70,2,0))</f>
        <v>#N/A</v>
      </c>
      <c r="F283" s="37" t="s">
        <v>28</v>
      </c>
      <c r="G283" s="37" t="s">
        <v>43</v>
      </c>
      <c r="H283" s="58">
        <v>1</v>
      </c>
      <c r="I283" s="40">
        <v>46.44</v>
      </c>
      <c r="J283" s="40">
        <v>1</v>
      </c>
      <c r="K283" s="41">
        <v>3</v>
      </c>
      <c r="L283" s="42">
        <f t="shared" si="13"/>
        <v>139.32</v>
      </c>
    </row>
    <row r="284" spans="2:12" x14ac:dyDescent="0.2">
      <c r="B284" s="36" t="s">
        <v>17</v>
      </c>
      <c r="C284" s="37" t="str">
        <f>IF(B284="","",VLOOKUP(B284,ORÇAMENTO!$B$7:C180,2,0))</f>
        <v>PINTURA</v>
      </c>
      <c r="D284" s="37" t="s">
        <v>117</v>
      </c>
      <c r="E284" s="37" t="e">
        <f>IF(D284="","",VLOOKUP(D284,ORÇAMENTO!$B$7:$E$70,2,0))</f>
        <v>#N/A</v>
      </c>
      <c r="F284" s="37" t="s">
        <v>29</v>
      </c>
      <c r="G284" s="37" t="s">
        <v>43</v>
      </c>
      <c r="H284" s="58">
        <f>5*2</f>
        <v>10</v>
      </c>
      <c r="I284" s="40">
        <f>13.7+2</f>
        <v>15.7</v>
      </c>
      <c r="J284" s="40">
        <v>1</v>
      </c>
      <c r="K284" s="41">
        <v>2.8</v>
      </c>
      <c r="L284" s="42">
        <f t="shared" si="13"/>
        <v>439.59999999999997</v>
      </c>
    </row>
    <row r="285" spans="2:12" x14ac:dyDescent="0.2">
      <c r="B285" s="36" t="s">
        <v>17</v>
      </c>
      <c r="C285" s="37" t="str">
        <f>IF(B285="","",VLOOKUP(B285,ORÇAMENTO!$B$7:C181,2,0))</f>
        <v>PINTURA</v>
      </c>
      <c r="D285" s="37" t="s">
        <v>117</v>
      </c>
      <c r="E285" s="37" t="e">
        <f>IF(D285="","",VLOOKUP(D285,ORÇAMENTO!$B$7:$E$70,2,0))</f>
        <v>#N/A</v>
      </c>
      <c r="F285" s="37" t="s">
        <v>29</v>
      </c>
      <c r="G285" s="37" t="s">
        <v>43</v>
      </c>
      <c r="H285" s="58">
        <f>5*1</f>
        <v>5</v>
      </c>
      <c r="I285" s="40">
        <v>11.9</v>
      </c>
      <c r="J285" s="40">
        <v>1</v>
      </c>
      <c r="K285" s="41">
        <v>2.8</v>
      </c>
      <c r="L285" s="42">
        <f t="shared" si="13"/>
        <v>166.6</v>
      </c>
    </row>
    <row r="286" spans="2:12" x14ac:dyDescent="0.2">
      <c r="B286" s="36" t="s">
        <v>17</v>
      </c>
      <c r="C286" s="37" t="str">
        <f>IF(B286="","",VLOOKUP(B286,ORÇAMENTO!$B$7:C196,2,0))</f>
        <v>PINTURA</v>
      </c>
      <c r="D286" s="37" t="s">
        <v>117</v>
      </c>
      <c r="E286" s="37" t="e">
        <f>IF(D286="","",VLOOKUP(D286,ORÇAMENTO!$B$7:$E$70,2,0))</f>
        <v>#N/A</v>
      </c>
      <c r="F286" s="37" t="s">
        <v>34</v>
      </c>
      <c r="G286" s="37" t="s">
        <v>43</v>
      </c>
      <c r="H286" s="58">
        <v>2</v>
      </c>
      <c r="I286" s="40">
        <f>13.7+2</f>
        <v>15.7</v>
      </c>
      <c r="J286" s="40">
        <v>1</v>
      </c>
      <c r="K286" s="41">
        <v>2.8</v>
      </c>
      <c r="L286" s="42">
        <f t="shared" si="13"/>
        <v>87.919999999999987</v>
      </c>
    </row>
    <row r="287" spans="2:12" x14ac:dyDescent="0.2">
      <c r="B287" s="36" t="s">
        <v>17</v>
      </c>
      <c r="C287" s="37" t="str">
        <f>IF(B287="","",VLOOKUP(B287,ORÇAMENTO!$B$7:C197,2,0))</f>
        <v>PINTURA</v>
      </c>
      <c r="D287" s="37" t="s">
        <v>117</v>
      </c>
      <c r="E287" s="37" t="e">
        <f>IF(D287="","",VLOOKUP(D287,ORÇAMENTO!$B$7:$E$70,2,0))</f>
        <v>#N/A</v>
      </c>
      <c r="F287" s="37" t="s">
        <v>34</v>
      </c>
      <c r="G287" s="37" t="s">
        <v>43</v>
      </c>
      <c r="H287" s="58">
        <v>1</v>
      </c>
      <c r="I287" s="40">
        <v>11.9</v>
      </c>
      <c r="J287" s="40">
        <v>1</v>
      </c>
      <c r="K287" s="41">
        <v>2.8</v>
      </c>
      <c r="L287" s="42">
        <f t="shared" si="13"/>
        <v>33.32</v>
      </c>
    </row>
    <row r="288" spans="2:12" x14ac:dyDescent="0.2">
      <c r="B288" s="36" t="s">
        <v>17</v>
      </c>
      <c r="C288" s="37" t="str">
        <f>IF(B288="","",VLOOKUP(B288,ORÇAMENTO!$B$7:C227,2,0))</f>
        <v>PINTURA</v>
      </c>
      <c r="D288" s="37" t="s">
        <v>117</v>
      </c>
      <c r="E288" s="37" t="e">
        <f>IF(D288="","",VLOOKUP(D288,ORÇAMENTO!$B$7:$E$70,2,0))</f>
        <v>#N/A</v>
      </c>
      <c r="F288" s="37" t="s">
        <v>28</v>
      </c>
      <c r="G288" s="37" t="s">
        <v>43</v>
      </c>
      <c r="H288" s="58">
        <v>1</v>
      </c>
      <c r="I288" s="40">
        <v>36.85</v>
      </c>
      <c r="J288" s="40">
        <v>1</v>
      </c>
      <c r="K288" s="41">
        <v>1.8</v>
      </c>
      <c r="L288" s="42">
        <f t="shared" si="13"/>
        <v>66.33</v>
      </c>
    </row>
    <row r="289" spans="2:12" x14ac:dyDescent="0.2">
      <c r="B289" s="36" t="s">
        <v>17</v>
      </c>
      <c r="C289" s="37" t="str">
        <f>IF(B289="","",VLOOKUP(B289,ORÇAMENTO!$B$7:C228,2,0))</f>
        <v>PINTURA</v>
      </c>
      <c r="D289" s="37" t="s">
        <v>117</v>
      </c>
      <c r="E289" s="37" t="e">
        <f>IF(D289="","",VLOOKUP(D289,ORÇAMENTO!$B$7:$E$70,2,0))</f>
        <v>#N/A</v>
      </c>
      <c r="F289" s="37" t="s">
        <v>28</v>
      </c>
      <c r="G289" s="37" t="s">
        <v>43</v>
      </c>
      <c r="H289" s="58">
        <v>1</v>
      </c>
      <c r="I289" s="40">
        <v>9.8699999999999992</v>
      </c>
      <c r="J289" s="40">
        <v>1</v>
      </c>
      <c r="K289" s="41">
        <v>1</v>
      </c>
      <c r="L289" s="42">
        <f t="shared" si="13"/>
        <v>9.8699999999999992</v>
      </c>
    </row>
    <row r="290" spans="2:12" x14ac:dyDescent="0.2">
      <c r="B290" s="45" t="s">
        <v>18</v>
      </c>
      <c r="C290" s="46" t="e">
        <f>IF(B290="","",VLOOKUP(B290,ORÇAMENTO!$B$7:C324,2,0))</f>
        <v>#N/A</v>
      </c>
      <c r="D290" s="46" t="s">
        <v>118</v>
      </c>
      <c r="E290" s="46" t="e">
        <f>IF(D290="","",VLOOKUP(D290,ORÇAMENTO!$B$7:$E$70,2,0))</f>
        <v>#N/A</v>
      </c>
      <c r="F290" s="46" t="s">
        <v>31</v>
      </c>
      <c r="G290" s="59"/>
      <c r="H290" s="47">
        <v>1</v>
      </c>
      <c r="I290" s="48">
        <v>1</v>
      </c>
      <c r="J290" s="48">
        <v>1</v>
      </c>
      <c r="K290" s="49">
        <v>14.17</v>
      </c>
      <c r="L290" s="53">
        <f t="shared" si="13"/>
        <v>14.17</v>
      </c>
    </row>
    <row r="291" spans="2:12" x14ac:dyDescent="0.2">
      <c r="B291" s="45" t="s">
        <v>18</v>
      </c>
      <c r="C291" s="46" t="e">
        <f>IF(B291="","",VLOOKUP(B291,ORÇAMENTO!$B$7:C325,2,0))</f>
        <v>#N/A</v>
      </c>
      <c r="D291" s="46" t="s">
        <v>118</v>
      </c>
      <c r="E291" s="46" t="e">
        <f>IF(D291="","",VLOOKUP(D291,ORÇAMENTO!$B$7:$E$70,2,0))</f>
        <v>#N/A</v>
      </c>
      <c r="F291" s="46" t="s">
        <v>28</v>
      </c>
      <c r="G291" s="59"/>
      <c r="H291" s="47">
        <v>1</v>
      </c>
      <c r="I291" s="48">
        <v>1</v>
      </c>
      <c r="J291" s="48">
        <v>1</v>
      </c>
      <c r="K291" s="49">
        <v>151.62</v>
      </c>
      <c r="L291" s="53">
        <f t="shared" si="13"/>
        <v>151.62</v>
      </c>
    </row>
    <row r="292" spans="2:12" x14ac:dyDescent="0.2">
      <c r="B292" s="45" t="s">
        <v>18</v>
      </c>
      <c r="C292" s="46" t="e">
        <f>IF(B292="","",VLOOKUP(B292,ORÇAMENTO!$B$7:C326,2,0))</f>
        <v>#N/A</v>
      </c>
      <c r="D292" s="46" t="s">
        <v>118</v>
      </c>
      <c r="E292" s="46" t="e">
        <f>IF(D292="","",VLOOKUP(D292,ORÇAMENTO!$B$7:$E$70,2,0))</f>
        <v>#N/A</v>
      </c>
      <c r="F292" s="46" t="s">
        <v>29</v>
      </c>
      <c r="G292" s="59"/>
      <c r="H292" s="47">
        <v>5</v>
      </c>
      <c r="I292" s="48">
        <v>1</v>
      </c>
      <c r="J292" s="48">
        <v>1</v>
      </c>
      <c r="K292" s="49">
        <v>158.78</v>
      </c>
      <c r="L292" s="53">
        <f t="shared" si="13"/>
        <v>793.9</v>
      </c>
    </row>
    <row r="293" spans="2:12" x14ac:dyDescent="0.2">
      <c r="B293" s="45" t="s">
        <v>18</v>
      </c>
      <c r="C293" s="46" t="e">
        <f>IF(B293="","",VLOOKUP(B293,ORÇAMENTO!$B$7:C327,2,0))</f>
        <v>#N/A</v>
      </c>
      <c r="D293" s="46" t="s">
        <v>118</v>
      </c>
      <c r="E293" s="46" t="e">
        <f>IF(D293="","",VLOOKUP(D293,ORÇAMENTO!$B$7:$E$70,2,0))</f>
        <v>#N/A</v>
      </c>
      <c r="F293" s="46" t="s">
        <v>34</v>
      </c>
      <c r="G293" s="59"/>
      <c r="H293" s="47">
        <v>1</v>
      </c>
      <c r="I293" s="48">
        <v>1</v>
      </c>
      <c r="J293" s="48">
        <v>1</v>
      </c>
      <c r="K293" s="49">
        <v>158.22999999999999</v>
      </c>
      <c r="L293" s="53">
        <f t="shared" si="13"/>
        <v>158.22999999999999</v>
      </c>
    </row>
    <row r="294" spans="2:12" x14ac:dyDescent="0.2">
      <c r="B294" s="45" t="s">
        <v>18</v>
      </c>
      <c r="C294" s="46" t="e">
        <f>IF(B294="","",VLOOKUP(B294,ORÇAMENTO!$B$7:C328,2,0))</f>
        <v>#N/A</v>
      </c>
      <c r="D294" s="46" t="s">
        <v>118</v>
      </c>
      <c r="E294" s="46" t="e">
        <f>IF(D294="","",VLOOKUP(D294,ORÇAMENTO!$B$7:$E$70,2,0))</f>
        <v>#N/A</v>
      </c>
      <c r="F294" s="46" t="s">
        <v>15</v>
      </c>
      <c r="G294" s="59"/>
      <c r="H294" s="47">
        <v>1</v>
      </c>
      <c r="I294" s="48">
        <v>1</v>
      </c>
      <c r="J294" s="48">
        <v>1</v>
      </c>
      <c r="K294" s="49">
        <v>9.5500000000000007</v>
      </c>
      <c r="L294" s="53">
        <f t="shared" si="13"/>
        <v>9.5500000000000007</v>
      </c>
    </row>
    <row r="295" spans="2:12" x14ac:dyDescent="0.2">
      <c r="B295" s="36" t="s">
        <v>19</v>
      </c>
      <c r="C295" s="37" t="e">
        <f>IF(B295="","",VLOOKUP(B295,ORÇAMENTO!$B$7:C338,2,0))</f>
        <v>#N/A</v>
      </c>
      <c r="D295" s="37" t="s">
        <v>119</v>
      </c>
      <c r="E295" s="37" t="e">
        <f>IF(D295="","",VLOOKUP(D295,ORÇAMENTO!$B$7:$E$70,2,0))</f>
        <v>#N/A</v>
      </c>
      <c r="F295" s="37" t="s">
        <v>31</v>
      </c>
      <c r="G295" s="37" t="s">
        <v>242</v>
      </c>
      <c r="H295" s="58">
        <v>2</v>
      </c>
      <c r="I295" s="40">
        <v>1</v>
      </c>
      <c r="J295" s="40">
        <v>1</v>
      </c>
      <c r="K295" s="41">
        <v>1</v>
      </c>
      <c r="L295" s="64">
        <f t="shared" si="13"/>
        <v>2</v>
      </c>
    </row>
    <row r="296" spans="2:12" x14ac:dyDescent="0.2">
      <c r="B296" s="36" t="s">
        <v>19</v>
      </c>
      <c r="C296" s="37" t="e">
        <f>IF(B296="","",VLOOKUP(B296,ORÇAMENTO!$B$7:C341,2,0))</f>
        <v>#N/A</v>
      </c>
      <c r="D296" s="37" t="s">
        <v>119</v>
      </c>
      <c r="E296" s="37" t="e">
        <f>IF(D296="","",VLOOKUP(D296,ORÇAMENTO!$B$7:$E$70,2,0))</f>
        <v>#N/A</v>
      </c>
      <c r="F296" s="37" t="s">
        <v>28</v>
      </c>
      <c r="G296" s="37" t="s">
        <v>242</v>
      </c>
      <c r="H296" s="58">
        <v>2</v>
      </c>
      <c r="I296" s="40">
        <v>1</v>
      </c>
      <c r="J296" s="40">
        <v>1</v>
      </c>
      <c r="K296" s="41">
        <v>1</v>
      </c>
      <c r="L296" s="64">
        <f t="shared" si="13"/>
        <v>2</v>
      </c>
    </row>
    <row r="297" spans="2:12" x14ac:dyDescent="0.2">
      <c r="B297" s="36" t="s">
        <v>19</v>
      </c>
      <c r="C297" s="37" t="e">
        <f>IF(B297="","",VLOOKUP(B297,ORÇAMENTO!$B$7:C352,2,0))</f>
        <v>#N/A</v>
      </c>
      <c r="D297" s="37" t="s">
        <v>119</v>
      </c>
      <c r="E297" s="37" t="e">
        <f>IF(D297="","",VLOOKUP(D297,ORÇAMENTO!$B$7:$E$70,2,0))</f>
        <v>#N/A</v>
      </c>
      <c r="F297" s="37" t="s">
        <v>29</v>
      </c>
      <c r="G297" s="37" t="s">
        <v>242</v>
      </c>
      <c r="H297" s="58">
        <f>2*5</f>
        <v>10</v>
      </c>
      <c r="I297" s="40">
        <v>1</v>
      </c>
      <c r="J297" s="40">
        <v>1</v>
      </c>
      <c r="K297" s="41">
        <v>1</v>
      </c>
      <c r="L297" s="64">
        <f t="shared" si="13"/>
        <v>10</v>
      </c>
    </row>
    <row r="298" spans="2:12" x14ac:dyDescent="0.2">
      <c r="B298" s="36" t="s">
        <v>19</v>
      </c>
      <c r="C298" s="37" t="e">
        <f>IF(B298="","",VLOOKUP(B298,ORÇAMENTO!$B$7:C367,2,0))</f>
        <v>#N/A</v>
      </c>
      <c r="D298" s="37" t="s">
        <v>119</v>
      </c>
      <c r="E298" s="37" t="e">
        <f>IF(D298="","",VLOOKUP(D298,ORÇAMENTO!$B$7:$E$70,2,0))</f>
        <v>#N/A</v>
      </c>
      <c r="F298" s="37" t="s">
        <v>34</v>
      </c>
      <c r="G298" s="37" t="s">
        <v>242</v>
      </c>
      <c r="H298" s="58">
        <f>2</f>
        <v>2</v>
      </c>
      <c r="I298" s="40">
        <v>1</v>
      </c>
      <c r="J298" s="40">
        <v>1</v>
      </c>
      <c r="K298" s="41">
        <v>1</v>
      </c>
      <c r="L298" s="64">
        <f t="shared" si="13"/>
        <v>2</v>
      </c>
    </row>
    <row r="299" spans="2:12" x14ac:dyDescent="0.2">
      <c r="B299" s="36" t="s">
        <v>19</v>
      </c>
      <c r="C299" s="37" t="e">
        <f>IF(B299="","",VLOOKUP(B299,ORÇAMENTO!$B$7:C380,2,0))</f>
        <v>#N/A</v>
      </c>
      <c r="D299" s="37" t="s">
        <v>119</v>
      </c>
      <c r="E299" s="37" t="e">
        <f>IF(D299="","",VLOOKUP(D299,ORÇAMENTO!$B$7:$E$70,2,0))</f>
        <v>#N/A</v>
      </c>
      <c r="F299" s="37" t="s">
        <v>15</v>
      </c>
      <c r="G299" s="37" t="s">
        <v>242</v>
      </c>
      <c r="H299" s="58">
        <v>1</v>
      </c>
      <c r="I299" s="40">
        <v>1</v>
      </c>
      <c r="J299" s="40">
        <v>1</v>
      </c>
      <c r="K299" s="41">
        <v>1</v>
      </c>
      <c r="L299" s="64">
        <f t="shared" si="13"/>
        <v>1</v>
      </c>
    </row>
    <row r="300" spans="2:12" x14ac:dyDescent="0.2">
      <c r="B300" s="36" t="s">
        <v>19</v>
      </c>
      <c r="C300" s="37" t="e">
        <f>IF(B300="","",VLOOKUP(B300,ORÇAMENTO!$B$7:C387,2,0))</f>
        <v>#N/A</v>
      </c>
      <c r="D300" s="37" t="s">
        <v>119</v>
      </c>
      <c r="E300" s="37" t="e">
        <f>IF(D300="","",VLOOKUP(D300,ORÇAMENTO!$B$7:$E$70,2,0))</f>
        <v>#N/A</v>
      </c>
      <c r="F300" s="37" t="s">
        <v>30</v>
      </c>
      <c r="G300" s="37" t="s">
        <v>71</v>
      </c>
      <c r="H300" s="58">
        <v>2</v>
      </c>
      <c r="I300" s="40">
        <v>1</v>
      </c>
      <c r="J300" s="40">
        <v>1</v>
      </c>
      <c r="K300" s="41">
        <v>1</v>
      </c>
      <c r="L300" s="64">
        <f t="shared" si="13"/>
        <v>2</v>
      </c>
    </row>
    <row r="301" spans="2:12" x14ac:dyDescent="0.2">
      <c r="B301" s="36" t="s">
        <v>19</v>
      </c>
      <c r="C301" s="37" t="e">
        <f>IF(B301="","",VLOOKUP(B301,ORÇAMENTO!$B$7:C395,2,0))</f>
        <v>#N/A</v>
      </c>
      <c r="D301" s="37" t="s">
        <v>120</v>
      </c>
      <c r="E301" s="37" t="e">
        <f>IF(D301="","",VLOOKUP(D301,ORÇAMENTO!$B$7:$E$70,2,0))</f>
        <v>#N/A</v>
      </c>
      <c r="F301" s="62"/>
      <c r="G301" s="62"/>
      <c r="H301" s="58">
        <v>1</v>
      </c>
      <c r="I301" s="40">
        <v>5</v>
      </c>
      <c r="J301" s="40">
        <v>1</v>
      </c>
      <c r="K301" s="41">
        <v>2.1</v>
      </c>
      <c r="L301" s="42">
        <f t="shared" si="13"/>
        <v>10.5</v>
      </c>
    </row>
    <row r="302" spans="2:12" x14ac:dyDescent="0.2">
      <c r="B302" s="36" t="s">
        <v>19</v>
      </c>
      <c r="C302" s="37" t="e">
        <f>IF(B302="","",VLOOKUP(B302,ORÇAMENTO!$B$7:C396,2,0))</f>
        <v>#N/A</v>
      </c>
      <c r="D302" s="37" t="s">
        <v>121</v>
      </c>
      <c r="E302" s="37" t="e">
        <f>IF(D302="","",VLOOKUP(D302,ORÇAMENTO!$B$7:$E$70,2,0))</f>
        <v>#N/A</v>
      </c>
      <c r="F302" s="62"/>
      <c r="G302" s="62"/>
      <c r="H302" s="58">
        <v>1</v>
      </c>
      <c r="I302" s="40">
        <v>1</v>
      </c>
      <c r="J302" s="40">
        <v>1</v>
      </c>
      <c r="K302" s="41">
        <v>1</v>
      </c>
      <c r="L302" s="64">
        <f t="shared" si="13"/>
        <v>1</v>
      </c>
    </row>
    <row r="303" spans="2:12" x14ac:dyDescent="0.2">
      <c r="B303" s="45" t="s">
        <v>24</v>
      </c>
      <c r="C303" s="46" t="e">
        <f>IF(B303="","",VLOOKUP(B303,ORÇAMENTO!$B$7:C158,2,0))</f>
        <v>#N/A</v>
      </c>
      <c r="D303" s="46" t="s">
        <v>122</v>
      </c>
      <c r="E303" s="46" t="e">
        <f>IF(D303="","",VLOOKUP(D303,ORÇAMENTO!$B$7:$E$70,2,0))</f>
        <v>#N/A</v>
      </c>
      <c r="F303" s="46" t="s">
        <v>232</v>
      </c>
      <c r="G303" s="46" t="s">
        <v>40</v>
      </c>
      <c r="H303" s="47">
        <v>1</v>
      </c>
      <c r="I303" s="48"/>
      <c r="J303" s="48">
        <v>30.36</v>
      </c>
      <c r="K303" s="49">
        <v>2.8</v>
      </c>
      <c r="L303" s="53">
        <f>J303*K303</f>
        <v>85.007999999999996</v>
      </c>
    </row>
    <row r="304" spans="2:12" x14ac:dyDescent="0.2">
      <c r="B304" s="45" t="s">
        <v>24</v>
      </c>
      <c r="C304" s="46" t="e">
        <f>IF(B304="","",VLOOKUP(B304,ORÇAMENTO!$B$7:C159,2,0))</f>
        <v>#N/A</v>
      </c>
      <c r="D304" s="46" t="s">
        <v>122</v>
      </c>
      <c r="E304" s="46" t="e">
        <f>IF(D304="","",VLOOKUP(D304,ORÇAMENTO!$B$7:$E$70,2,0))</f>
        <v>#N/A</v>
      </c>
      <c r="F304" s="46" t="s">
        <v>232</v>
      </c>
      <c r="G304" s="46" t="s">
        <v>40</v>
      </c>
      <c r="H304" s="47">
        <v>1</v>
      </c>
      <c r="I304" s="48"/>
      <c r="J304" s="48">
        <v>12.93</v>
      </c>
      <c r="K304" s="49">
        <v>1</v>
      </c>
      <c r="L304" s="53">
        <f>J304*K304</f>
        <v>12.93</v>
      </c>
    </row>
    <row r="305" spans="2:12" x14ac:dyDescent="0.2">
      <c r="B305" s="45" t="s">
        <v>24</v>
      </c>
      <c r="C305" s="46" t="e">
        <f>IF(B305="","",VLOOKUP(B305,ORÇAMENTO!$B$7:C160,2,0))</f>
        <v>#N/A</v>
      </c>
      <c r="D305" s="46" t="s">
        <v>122</v>
      </c>
      <c r="E305" s="46" t="e">
        <f>IF(D305="","",VLOOKUP(D305,ORÇAMENTO!$B$7:$E$70,2,0))</f>
        <v>#N/A</v>
      </c>
      <c r="F305" s="46" t="s">
        <v>232</v>
      </c>
      <c r="G305" s="46" t="s">
        <v>40</v>
      </c>
      <c r="H305" s="47">
        <v>1</v>
      </c>
      <c r="I305" s="48"/>
      <c r="J305" s="48">
        <v>1.75</v>
      </c>
      <c r="K305" s="49">
        <v>0.1</v>
      </c>
      <c r="L305" s="53">
        <f>J305*K305</f>
        <v>0.17500000000000002</v>
      </c>
    </row>
    <row r="306" spans="2:12" x14ac:dyDescent="0.2">
      <c r="B306" s="45" t="s">
        <v>24</v>
      </c>
      <c r="C306" s="46" t="e">
        <f>IF(B306="","",VLOOKUP(B306,ORÇAMENTO!$B$7:C165,2,0))</f>
        <v>#N/A</v>
      </c>
      <c r="D306" s="46" t="s">
        <v>122</v>
      </c>
      <c r="E306" s="46" t="e">
        <f>IF(D306="","",VLOOKUP(D306,ORÇAMENTO!$B$7:$E$70,2,0))</f>
        <v>#N/A</v>
      </c>
      <c r="F306" s="46" t="s">
        <v>31</v>
      </c>
      <c r="G306" s="46" t="s">
        <v>40</v>
      </c>
      <c r="H306" s="47">
        <v>1</v>
      </c>
      <c r="I306" s="48">
        <v>84.25</v>
      </c>
      <c r="J306" s="48">
        <v>1</v>
      </c>
      <c r="K306" s="49">
        <v>2.8</v>
      </c>
      <c r="L306" s="53">
        <f t="shared" ref="L306:L312" si="14">H306*I306*J306*K306</f>
        <v>235.89999999999998</v>
      </c>
    </row>
    <row r="307" spans="2:12" x14ac:dyDescent="0.2">
      <c r="B307" s="45" t="s">
        <v>24</v>
      </c>
      <c r="C307" s="46" t="e">
        <f>IF(B307="","",VLOOKUP(B307,ORÇAMENTO!$B$7:C167,2,0))</f>
        <v>#N/A</v>
      </c>
      <c r="D307" s="46" t="s">
        <v>122</v>
      </c>
      <c r="E307" s="46" t="e">
        <f>IF(D307="","",VLOOKUP(D307,ORÇAMENTO!$B$7:$E$70,2,0))</f>
        <v>#N/A</v>
      </c>
      <c r="F307" s="46" t="s">
        <v>31</v>
      </c>
      <c r="G307" s="46" t="s">
        <v>42</v>
      </c>
      <c r="H307" s="47">
        <v>2</v>
      </c>
      <c r="I307" s="48">
        <v>23</v>
      </c>
      <c r="J307" s="48">
        <v>1</v>
      </c>
      <c r="K307" s="49">
        <v>2.8</v>
      </c>
      <c r="L307" s="53">
        <f t="shared" si="14"/>
        <v>128.79999999999998</v>
      </c>
    </row>
    <row r="308" spans="2:12" x14ac:dyDescent="0.2">
      <c r="B308" s="45" t="s">
        <v>24</v>
      </c>
      <c r="C308" s="46" t="e">
        <f>IF(B308="","",VLOOKUP(B308,ORÇAMENTO!$B$7:C168,2,0))</f>
        <v>#N/A</v>
      </c>
      <c r="D308" s="46" t="s">
        <v>122</v>
      </c>
      <c r="E308" s="46" t="e">
        <f>IF(D308="","",VLOOKUP(D308,ORÇAMENTO!$B$7:$E$70,2,0))</f>
        <v>#N/A</v>
      </c>
      <c r="F308" s="46" t="s">
        <v>31</v>
      </c>
      <c r="G308" s="46" t="s">
        <v>41</v>
      </c>
      <c r="H308" s="47">
        <v>2</v>
      </c>
      <c r="I308" s="48">
        <v>6.3</v>
      </c>
      <c r="J308" s="48">
        <v>1</v>
      </c>
      <c r="K308" s="49">
        <v>3</v>
      </c>
      <c r="L308" s="53">
        <f t="shared" si="14"/>
        <v>37.799999999999997</v>
      </c>
    </row>
    <row r="309" spans="2:12" x14ac:dyDescent="0.2">
      <c r="B309" s="45" t="s">
        <v>24</v>
      </c>
      <c r="C309" s="46" t="e">
        <f>IF(B309="","",VLOOKUP(B309,ORÇAMENTO!$B$7:C172,2,0))</f>
        <v>#N/A</v>
      </c>
      <c r="D309" s="46" t="s">
        <v>122</v>
      </c>
      <c r="E309" s="46" t="e">
        <f>IF(D309="","",VLOOKUP(D309,ORÇAMENTO!$B$7:$E$70,2,0))</f>
        <v>#N/A</v>
      </c>
      <c r="F309" s="46" t="s">
        <v>28</v>
      </c>
      <c r="G309" s="46" t="s">
        <v>44</v>
      </c>
      <c r="H309" s="47">
        <v>1</v>
      </c>
      <c r="I309" s="48">
        <v>190.48</v>
      </c>
      <c r="J309" s="48">
        <v>1</v>
      </c>
      <c r="K309" s="49">
        <v>2.8</v>
      </c>
      <c r="L309" s="53">
        <f t="shared" si="14"/>
        <v>533.34399999999994</v>
      </c>
    </row>
    <row r="310" spans="2:12" x14ac:dyDescent="0.2">
      <c r="B310" s="45" t="s">
        <v>24</v>
      </c>
      <c r="C310" s="46" t="e">
        <f>IF(B310="","",VLOOKUP(B310,ORÇAMENTO!$B$7:C173,2,0))</f>
        <v>#N/A</v>
      </c>
      <c r="D310" s="46" t="s">
        <v>122</v>
      </c>
      <c r="E310" s="46" t="e">
        <f>IF(D310="","",VLOOKUP(D310,ORÇAMENTO!$B$7:$E$70,2,0))</f>
        <v>#N/A</v>
      </c>
      <c r="F310" s="46" t="s">
        <v>28</v>
      </c>
      <c r="G310" s="46" t="s">
        <v>44</v>
      </c>
      <c r="H310" s="47">
        <v>1</v>
      </c>
      <c r="I310" s="48">
        <v>36.85</v>
      </c>
      <c r="J310" s="48">
        <v>1</v>
      </c>
      <c r="K310" s="49">
        <v>1.8</v>
      </c>
      <c r="L310" s="53">
        <f t="shared" si="14"/>
        <v>66.33</v>
      </c>
    </row>
    <row r="311" spans="2:12" x14ac:dyDescent="0.2">
      <c r="B311" s="45" t="s">
        <v>24</v>
      </c>
      <c r="C311" s="46" t="e">
        <f>IF(B311="","",VLOOKUP(B311,ORÇAMENTO!$B$7:C174,2,0))</f>
        <v>#N/A</v>
      </c>
      <c r="D311" s="46" t="s">
        <v>122</v>
      </c>
      <c r="E311" s="46" t="e">
        <f>IF(D311="","",VLOOKUP(D311,ORÇAMENTO!$B$7:$E$70,2,0))</f>
        <v>#N/A</v>
      </c>
      <c r="F311" s="46" t="s">
        <v>28</v>
      </c>
      <c r="G311" s="46" t="s">
        <v>41</v>
      </c>
      <c r="H311" s="47">
        <v>2</v>
      </c>
      <c r="I311" s="48">
        <v>6.3</v>
      </c>
      <c r="J311" s="48">
        <v>1</v>
      </c>
      <c r="K311" s="49">
        <v>3</v>
      </c>
      <c r="L311" s="53">
        <f t="shared" si="14"/>
        <v>37.799999999999997</v>
      </c>
    </row>
    <row r="312" spans="2:12" x14ac:dyDescent="0.2">
      <c r="B312" s="45" t="s">
        <v>24</v>
      </c>
      <c r="C312" s="46" t="e">
        <f>IF(B312="","",VLOOKUP(B312,ORÇAMENTO!$B$7:C175,2,0))</f>
        <v>#N/A</v>
      </c>
      <c r="D312" s="46" t="s">
        <v>122</v>
      </c>
      <c r="E312" s="46" t="e">
        <f>IF(D312="","",VLOOKUP(D312,ORÇAMENTO!$B$7:$E$70,2,0))</f>
        <v>#N/A</v>
      </c>
      <c r="F312" s="46" t="s">
        <v>28</v>
      </c>
      <c r="G312" s="46" t="s">
        <v>44</v>
      </c>
      <c r="H312" s="47">
        <v>1</v>
      </c>
      <c r="I312" s="48">
        <v>9.8699999999999992</v>
      </c>
      <c r="J312" s="48">
        <v>1</v>
      </c>
      <c r="K312" s="49">
        <v>1</v>
      </c>
      <c r="L312" s="53">
        <f t="shared" si="14"/>
        <v>9.8699999999999992</v>
      </c>
    </row>
    <row r="313" spans="2:12" x14ac:dyDescent="0.2">
      <c r="B313" s="45" t="s">
        <v>24</v>
      </c>
      <c r="C313" s="46" t="e">
        <f>IF(B313="","",VLOOKUP(B313,ORÇAMENTO!$B$7:C176,2,0))</f>
        <v>#N/A</v>
      </c>
      <c r="D313" s="46" t="s">
        <v>122</v>
      </c>
      <c r="E313" s="46" t="e">
        <f>IF(D313="","",VLOOKUP(D313,ORÇAMENTO!$B$7:$E$70,2,0))</f>
        <v>#N/A</v>
      </c>
      <c r="F313" s="46" t="s">
        <v>28</v>
      </c>
      <c r="G313" s="46" t="s">
        <v>45</v>
      </c>
      <c r="H313" s="47">
        <v>1</v>
      </c>
      <c r="I313" s="48">
        <f>37.67</f>
        <v>37.67</v>
      </c>
      <c r="J313" s="48">
        <v>1</v>
      </c>
      <c r="K313" s="49">
        <v>2.8</v>
      </c>
      <c r="L313" s="53">
        <f>H313*I313*J313*K313+38.36</f>
        <v>143.83600000000001</v>
      </c>
    </row>
    <row r="314" spans="2:12" x14ac:dyDescent="0.2">
      <c r="B314" s="45" t="s">
        <v>24</v>
      </c>
      <c r="C314" s="46" t="e">
        <f>IF(B314="","",VLOOKUP(B314,ORÇAMENTO!$B$7:C178,2,0))</f>
        <v>#N/A</v>
      </c>
      <c r="D314" s="46" t="s">
        <v>122</v>
      </c>
      <c r="E314" s="46" t="e">
        <f>IF(D314="","",VLOOKUP(D314,ORÇAMENTO!$B$7:$E$70,2,0))</f>
        <v>#N/A</v>
      </c>
      <c r="F314" s="46" t="s">
        <v>29</v>
      </c>
      <c r="G314" s="46" t="s">
        <v>42</v>
      </c>
      <c r="H314" s="47">
        <v>1</v>
      </c>
      <c r="I314" s="48">
        <v>36.85</v>
      </c>
      <c r="J314" s="48">
        <v>1</v>
      </c>
      <c r="K314" s="49">
        <v>1.8</v>
      </c>
      <c r="L314" s="53">
        <f t="shared" ref="L314:L345" si="15">H314*I314*J314*K314</f>
        <v>66.33</v>
      </c>
    </row>
    <row r="315" spans="2:12" x14ac:dyDescent="0.2">
      <c r="B315" s="45" t="s">
        <v>24</v>
      </c>
      <c r="C315" s="46" t="e">
        <f>IF(B315="","",VLOOKUP(B315,ORÇAMENTO!$B$7:C179,2,0))</f>
        <v>#N/A</v>
      </c>
      <c r="D315" s="46" t="s">
        <v>122</v>
      </c>
      <c r="E315" s="46" t="e">
        <f>IF(D315="","",VLOOKUP(D315,ORÇAMENTO!$B$7:$E$70,2,0))</f>
        <v>#N/A</v>
      </c>
      <c r="F315" s="46" t="s">
        <v>29</v>
      </c>
      <c r="G315" s="46" t="s">
        <v>41</v>
      </c>
      <c r="H315" s="47">
        <v>1</v>
      </c>
      <c r="I315" s="48">
        <v>9.8699999999999992</v>
      </c>
      <c r="J315" s="48">
        <v>1</v>
      </c>
      <c r="K315" s="49">
        <v>1</v>
      </c>
      <c r="L315" s="53">
        <f t="shared" si="15"/>
        <v>9.8699999999999992</v>
      </c>
    </row>
    <row r="316" spans="2:12" x14ac:dyDescent="0.2">
      <c r="B316" s="45" t="s">
        <v>24</v>
      </c>
      <c r="C316" s="46" t="e">
        <f>IF(B316="","",VLOOKUP(B316,ORÇAMENTO!$B$7:C182,2,0))</f>
        <v>#N/A</v>
      </c>
      <c r="D316" s="46" t="s">
        <v>122</v>
      </c>
      <c r="E316" s="46" t="e">
        <f>IF(D316="","",VLOOKUP(D316,ORÇAMENTO!$B$7:$E$70,2,0))</f>
        <v>#N/A</v>
      </c>
      <c r="F316" s="46" t="s">
        <v>29</v>
      </c>
      <c r="G316" s="46" t="s">
        <v>46</v>
      </c>
      <c r="H316" s="47">
        <f>5*2</f>
        <v>10</v>
      </c>
      <c r="I316" s="48">
        <v>4.82</v>
      </c>
      <c r="J316" s="48">
        <v>1</v>
      </c>
      <c r="K316" s="49">
        <v>2.8</v>
      </c>
      <c r="L316" s="53">
        <f t="shared" si="15"/>
        <v>134.96</v>
      </c>
    </row>
    <row r="317" spans="2:12" x14ac:dyDescent="0.2">
      <c r="B317" s="45" t="s">
        <v>24</v>
      </c>
      <c r="C317" s="46" t="e">
        <f>IF(B317="","",VLOOKUP(B317,ORÇAMENTO!$B$7:C183,2,0))</f>
        <v>#N/A</v>
      </c>
      <c r="D317" s="46" t="s">
        <v>122</v>
      </c>
      <c r="E317" s="46" t="e">
        <f>IF(D317="","",VLOOKUP(D317,ORÇAMENTO!$B$7:$E$70,2,0))</f>
        <v>#N/A</v>
      </c>
      <c r="F317" s="46" t="s">
        <v>29</v>
      </c>
      <c r="G317" s="46" t="s">
        <v>46</v>
      </c>
      <c r="H317" s="47">
        <f>5*1</f>
        <v>5</v>
      </c>
      <c r="I317" s="48">
        <v>0.8</v>
      </c>
      <c r="J317" s="48">
        <v>1</v>
      </c>
      <c r="K317" s="49">
        <v>2.8</v>
      </c>
      <c r="L317" s="53">
        <f t="shared" si="15"/>
        <v>11.2</v>
      </c>
    </row>
    <row r="318" spans="2:12" x14ac:dyDescent="0.2">
      <c r="B318" s="45" t="s">
        <v>24</v>
      </c>
      <c r="C318" s="46" t="e">
        <f>IF(B318="","",VLOOKUP(B318,ORÇAMENTO!$B$7:C184,2,0))</f>
        <v>#N/A</v>
      </c>
      <c r="D318" s="46" t="s">
        <v>122</v>
      </c>
      <c r="E318" s="46" t="e">
        <f>IF(D318="","",VLOOKUP(D318,ORÇAMENTO!$B$7:$E$70,2,0))</f>
        <v>#N/A</v>
      </c>
      <c r="F318" s="46" t="s">
        <v>29</v>
      </c>
      <c r="G318" s="46" t="s">
        <v>47</v>
      </c>
      <c r="H318" s="47">
        <f>5*2</f>
        <v>10</v>
      </c>
      <c r="I318" s="48">
        <v>5.15</v>
      </c>
      <c r="J318" s="48">
        <v>1</v>
      </c>
      <c r="K318" s="49">
        <v>2.8</v>
      </c>
      <c r="L318" s="53">
        <f t="shared" si="15"/>
        <v>144.19999999999999</v>
      </c>
    </row>
    <row r="319" spans="2:12" x14ac:dyDescent="0.2">
      <c r="B319" s="45" t="s">
        <v>24</v>
      </c>
      <c r="C319" s="46" t="e">
        <f>IF(B319="","",VLOOKUP(B319,ORÇAMENTO!$B$7:C185,2,0))</f>
        <v>#N/A</v>
      </c>
      <c r="D319" s="46" t="s">
        <v>122</v>
      </c>
      <c r="E319" s="46" t="e">
        <f>IF(D319="","",VLOOKUP(D319,ORÇAMENTO!$B$7:$E$70,2,0))</f>
        <v>#N/A</v>
      </c>
      <c r="F319" s="46" t="s">
        <v>29</v>
      </c>
      <c r="G319" s="46" t="s">
        <v>48</v>
      </c>
      <c r="H319" s="47">
        <f>5*2</f>
        <v>10</v>
      </c>
      <c r="I319" s="48">
        <v>7.75</v>
      </c>
      <c r="J319" s="48">
        <v>1</v>
      </c>
      <c r="K319" s="49">
        <v>2.8</v>
      </c>
      <c r="L319" s="53">
        <f t="shared" si="15"/>
        <v>217</v>
      </c>
    </row>
    <row r="320" spans="2:12" x14ac:dyDescent="0.2">
      <c r="B320" s="45" t="s">
        <v>24</v>
      </c>
      <c r="C320" s="46" t="e">
        <f>IF(B320="","",VLOOKUP(B320,ORÇAMENTO!$B$7:C186,2,0))</f>
        <v>#N/A</v>
      </c>
      <c r="D320" s="46" t="s">
        <v>122</v>
      </c>
      <c r="E320" s="46" t="e">
        <f>IF(D320="","",VLOOKUP(D320,ORÇAMENTO!$B$7:$E$70,2,0))</f>
        <v>#N/A</v>
      </c>
      <c r="F320" s="46" t="s">
        <v>29</v>
      </c>
      <c r="G320" s="46" t="s">
        <v>48</v>
      </c>
      <c r="H320" s="47">
        <f>5*1</f>
        <v>5</v>
      </c>
      <c r="I320" s="48">
        <v>12.1</v>
      </c>
      <c r="J320" s="48">
        <v>1</v>
      </c>
      <c r="K320" s="49">
        <v>2.8</v>
      </c>
      <c r="L320" s="53">
        <f t="shared" si="15"/>
        <v>169.39999999999998</v>
      </c>
    </row>
    <row r="321" spans="2:12" x14ac:dyDescent="0.2">
      <c r="B321" s="45" t="s">
        <v>24</v>
      </c>
      <c r="C321" s="46" t="e">
        <f>IF(B321="","",VLOOKUP(B321,ORÇAMENTO!$B$7:C187,2,0))</f>
        <v>#N/A</v>
      </c>
      <c r="D321" s="46" t="s">
        <v>122</v>
      </c>
      <c r="E321" s="46" t="e">
        <f>IF(D321="","",VLOOKUP(D321,ORÇAMENTO!$B$7:$E$70,2,0))</f>
        <v>#N/A</v>
      </c>
      <c r="F321" s="46" t="s">
        <v>29</v>
      </c>
      <c r="G321" s="46" t="s">
        <v>49</v>
      </c>
      <c r="H321" s="47">
        <f>5*2</f>
        <v>10</v>
      </c>
      <c r="I321" s="48">
        <v>9.4</v>
      </c>
      <c r="J321" s="48">
        <v>1</v>
      </c>
      <c r="K321" s="49">
        <v>2.8</v>
      </c>
      <c r="L321" s="53">
        <f t="shared" si="15"/>
        <v>263.2</v>
      </c>
    </row>
    <row r="322" spans="2:12" x14ac:dyDescent="0.2">
      <c r="B322" s="45" t="s">
        <v>24</v>
      </c>
      <c r="C322" s="46" t="e">
        <f>IF(B322="","",VLOOKUP(B322,ORÇAMENTO!$B$7:C188,2,0))</f>
        <v>#N/A</v>
      </c>
      <c r="D322" s="46" t="s">
        <v>122</v>
      </c>
      <c r="E322" s="46" t="e">
        <f>IF(D322="","",VLOOKUP(D322,ORÇAMENTO!$B$7:$E$70,2,0))</f>
        <v>#N/A</v>
      </c>
      <c r="F322" s="46" t="s">
        <v>29</v>
      </c>
      <c r="G322" s="46" t="s">
        <v>49</v>
      </c>
      <c r="H322" s="47">
        <f>5*1</f>
        <v>5</v>
      </c>
      <c r="I322" s="48">
        <v>0.8</v>
      </c>
      <c r="J322" s="48">
        <v>1</v>
      </c>
      <c r="K322" s="49">
        <v>2.8</v>
      </c>
      <c r="L322" s="53">
        <f t="shared" si="15"/>
        <v>11.2</v>
      </c>
    </row>
    <row r="323" spans="2:12" x14ac:dyDescent="0.2">
      <c r="B323" s="45" t="s">
        <v>24</v>
      </c>
      <c r="C323" s="46" t="e">
        <f>IF(B323="","",VLOOKUP(B323,ORÇAMENTO!$B$7:C189,2,0))</f>
        <v>#N/A</v>
      </c>
      <c r="D323" s="46" t="s">
        <v>122</v>
      </c>
      <c r="E323" s="46" t="e">
        <f>IF(D323="","",VLOOKUP(D323,ORÇAMENTO!$B$7:$E$70,2,0))</f>
        <v>#N/A</v>
      </c>
      <c r="F323" s="46" t="s">
        <v>29</v>
      </c>
      <c r="G323" s="46" t="s">
        <v>50</v>
      </c>
      <c r="H323" s="47">
        <f>5*2</f>
        <v>10</v>
      </c>
      <c r="I323" s="48">
        <v>4.05</v>
      </c>
      <c r="J323" s="48">
        <v>1</v>
      </c>
      <c r="K323" s="49">
        <v>2.8</v>
      </c>
      <c r="L323" s="53">
        <f t="shared" si="15"/>
        <v>113.39999999999999</v>
      </c>
    </row>
    <row r="324" spans="2:12" x14ac:dyDescent="0.2">
      <c r="B324" s="45" t="s">
        <v>24</v>
      </c>
      <c r="C324" s="46" t="e">
        <f>IF(B324="","",VLOOKUP(B324,ORÇAMENTO!$B$7:C190,2,0))</f>
        <v>#N/A</v>
      </c>
      <c r="D324" s="46" t="s">
        <v>122</v>
      </c>
      <c r="E324" s="46" t="e">
        <f>IF(D324="","",VLOOKUP(D324,ORÇAMENTO!$B$7:$E$70,2,0))</f>
        <v>#N/A</v>
      </c>
      <c r="F324" s="46" t="s">
        <v>29</v>
      </c>
      <c r="G324" s="46" t="s">
        <v>51</v>
      </c>
      <c r="H324" s="47">
        <f>5*2</f>
        <v>10</v>
      </c>
      <c r="I324" s="48">
        <v>2.7</v>
      </c>
      <c r="J324" s="48">
        <v>1</v>
      </c>
      <c r="K324" s="49">
        <v>2.8</v>
      </c>
      <c r="L324" s="53">
        <f t="shared" si="15"/>
        <v>75.599999999999994</v>
      </c>
    </row>
    <row r="325" spans="2:12" x14ac:dyDescent="0.2">
      <c r="B325" s="45" t="s">
        <v>24</v>
      </c>
      <c r="C325" s="46" t="e">
        <f>IF(B325="","",VLOOKUP(B325,ORÇAMENTO!$B$7:C191,2,0))</f>
        <v>#N/A</v>
      </c>
      <c r="D325" s="46" t="s">
        <v>122</v>
      </c>
      <c r="E325" s="46" t="e">
        <f>IF(D325="","",VLOOKUP(D325,ORÇAMENTO!$B$7:$E$70,2,0))</f>
        <v>#N/A</v>
      </c>
      <c r="F325" s="46" t="s">
        <v>29</v>
      </c>
      <c r="G325" s="46" t="s">
        <v>51</v>
      </c>
      <c r="H325" s="47">
        <f>5*2</f>
        <v>10</v>
      </c>
      <c r="I325" s="48">
        <v>5.2</v>
      </c>
      <c r="J325" s="48">
        <v>1</v>
      </c>
      <c r="K325" s="49">
        <v>2.8</v>
      </c>
      <c r="L325" s="53">
        <f t="shared" si="15"/>
        <v>145.6</v>
      </c>
    </row>
    <row r="326" spans="2:12" x14ac:dyDescent="0.2">
      <c r="B326" s="45" t="s">
        <v>24</v>
      </c>
      <c r="C326" s="46" t="e">
        <f>IF(B326="","",VLOOKUP(B326,ORÇAMENTO!$B$7:C192,2,0))</f>
        <v>#N/A</v>
      </c>
      <c r="D326" s="46" t="s">
        <v>122</v>
      </c>
      <c r="E326" s="46" t="e">
        <f>IF(D326="","",VLOOKUP(D326,ORÇAMENTO!$B$7:$E$70,2,0))</f>
        <v>#N/A</v>
      </c>
      <c r="F326" s="46" t="s">
        <v>29</v>
      </c>
      <c r="G326" s="46" t="s">
        <v>52</v>
      </c>
      <c r="H326" s="47">
        <f>5*2</f>
        <v>10</v>
      </c>
      <c r="I326" s="48">
        <v>3.75</v>
      </c>
      <c r="J326" s="48">
        <v>1</v>
      </c>
      <c r="K326" s="49">
        <v>2.8</v>
      </c>
      <c r="L326" s="53">
        <f t="shared" si="15"/>
        <v>105</v>
      </c>
    </row>
    <row r="327" spans="2:12" x14ac:dyDescent="0.2">
      <c r="B327" s="45" t="s">
        <v>24</v>
      </c>
      <c r="C327" s="46" t="e">
        <f>IF(B327="","",VLOOKUP(B327,ORÇAMENTO!$B$7:C193,2,0))</f>
        <v>#N/A</v>
      </c>
      <c r="D327" s="46" t="s">
        <v>122</v>
      </c>
      <c r="E327" s="46" t="e">
        <f>IF(D327="","",VLOOKUP(D327,ORÇAMENTO!$B$7:$E$70,2,0))</f>
        <v>#N/A</v>
      </c>
      <c r="F327" s="46" t="s">
        <v>29</v>
      </c>
      <c r="G327" s="46" t="s">
        <v>53</v>
      </c>
      <c r="H327" s="47">
        <f>5*1</f>
        <v>5</v>
      </c>
      <c r="I327" s="48">
        <v>11.6</v>
      </c>
      <c r="J327" s="48">
        <v>1</v>
      </c>
      <c r="K327" s="49">
        <v>2.8</v>
      </c>
      <c r="L327" s="53">
        <f t="shared" si="15"/>
        <v>162.39999999999998</v>
      </c>
    </row>
    <row r="328" spans="2:12" x14ac:dyDescent="0.2">
      <c r="B328" s="45" t="s">
        <v>24</v>
      </c>
      <c r="C328" s="46" t="e">
        <f>IF(B328="","",VLOOKUP(B328,ORÇAMENTO!$B$7:C194,2,0))</f>
        <v>#N/A</v>
      </c>
      <c r="D328" s="46" t="s">
        <v>122</v>
      </c>
      <c r="E328" s="46" t="e">
        <f>IF(D328="","",VLOOKUP(D328,ORÇAMENTO!$B$7:$E$70,2,0))</f>
        <v>#N/A</v>
      </c>
      <c r="F328" s="46" t="s">
        <v>34</v>
      </c>
      <c r="G328" s="46" t="s">
        <v>42</v>
      </c>
      <c r="H328" s="47">
        <v>2</v>
      </c>
      <c r="I328" s="48">
        <v>5</v>
      </c>
      <c r="J328" s="48">
        <v>1</v>
      </c>
      <c r="K328" s="49">
        <v>2.8</v>
      </c>
      <c r="L328" s="53">
        <f t="shared" si="15"/>
        <v>28</v>
      </c>
    </row>
    <row r="329" spans="2:12" x14ac:dyDescent="0.2">
      <c r="B329" s="45" t="s">
        <v>24</v>
      </c>
      <c r="C329" s="46" t="e">
        <f>IF(B329="","",VLOOKUP(B329,ORÇAMENTO!$B$7:C195,2,0))</f>
        <v>#N/A</v>
      </c>
      <c r="D329" s="46" t="s">
        <v>122</v>
      </c>
      <c r="E329" s="46" t="e">
        <f>IF(D329="","",VLOOKUP(D329,ORÇAMENTO!$B$7:$E$70,2,0))</f>
        <v>#N/A</v>
      </c>
      <c r="F329" s="46" t="s">
        <v>34</v>
      </c>
      <c r="G329" s="46" t="s">
        <v>41</v>
      </c>
      <c r="H329" s="47">
        <v>2</v>
      </c>
      <c r="I329" s="48">
        <v>6.3</v>
      </c>
      <c r="J329" s="48">
        <v>1</v>
      </c>
      <c r="K329" s="49">
        <v>3</v>
      </c>
      <c r="L329" s="53">
        <f t="shared" si="15"/>
        <v>37.799999999999997</v>
      </c>
    </row>
    <row r="330" spans="2:12" x14ac:dyDescent="0.2">
      <c r="B330" s="45" t="s">
        <v>24</v>
      </c>
      <c r="C330" s="46" t="e">
        <f>IF(B330="","",VLOOKUP(B330,ORÇAMENTO!$B$7:C198,2,0))</f>
        <v>#N/A</v>
      </c>
      <c r="D330" s="46" t="s">
        <v>122</v>
      </c>
      <c r="E330" s="46" t="e">
        <f>IF(D330="","",VLOOKUP(D330,ORÇAMENTO!$B$7:$E$70,2,0))</f>
        <v>#N/A</v>
      </c>
      <c r="F330" s="46" t="s">
        <v>34</v>
      </c>
      <c r="G330" s="46" t="s">
        <v>46</v>
      </c>
      <c r="H330" s="47">
        <v>2</v>
      </c>
      <c r="I330" s="48">
        <v>4.82</v>
      </c>
      <c r="J330" s="48">
        <v>1</v>
      </c>
      <c r="K330" s="49">
        <v>2.8</v>
      </c>
      <c r="L330" s="53">
        <f t="shared" si="15"/>
        <v>26.992000000000001</v>
      </c>
    </row>
    <row r="331" spans="2:12" x14ac:dyDescent="0.2">
      <c r="B331" s="45" t="s">
        <v>24</v>
      </c>
      <c r="C331" s="46" t="e">
        <f>IF(B331="","",VLOOKUP(B331,ORÇAMENTO!$B$7:C199,2,0))</f>
        <v>#N/A</v>
      </c>
      <c r="D331" s="46" t="s">
        <v>122</v>
      </c>
      <c r="E331" s="46" t="e">
        <f>IF(D331="","",VLOOKUP(D331,ORÇAMENTO!$B$7:$E$70,2,0))</f>
        <v>#N/A</v>
      </c>
      <c r="F331" s="46" t="s">
        <v>34</v>
      </c>
      <c r="G331" s="46" t="s">
        <v>46</v>
      </c>
      <c r="H331" s="47">
        <v>1</v>
      </c>
      <c r="I331" s="48">
        <v>0.8</v>
      </c>
      <c r="J331" s="48">
        <v>1</v>
      </c>
      <c r="K331" s="49">
        <v>2.8</v>
      </c>
      <c r="L331" s="53">
        <f t="shared" si="15"/>
        <v>2.2399999999999998</v>
      </c>
    </row>
    <row r="332" spans="2:12" x14ac:dyDescent="0.2">
      <c r="B332" s="45" t="s">
        <v>24</v>
      </c>
      <c r="C332" s="46" t="e">
        <f>IF(B332="","",VLOOKUP(B332,ORÇAMENTO!$B$7:C200,2,0))</f>
        <v>#N/A</v>
      </c>
      <c r="D332" s="46" t="s">
        <v>122</v>
      </c>
      <c r="E332" s="46" t="e">
        <f>IF(D332="","",VLOOKUP(D332,ORÇAMENTO!$B$7:$E$70,2,0))</f>
        <v>#N/A</v>
      </c>
      <c r="F332" s="46" t="s">
        <v>34</v>
      </c>
      <c r="G332" s="46" t="s">
        <v>47</v>
      </c>
      <c r="H332" s="47">
        <v>2</v>
      </c>
      <c r="I332" s="48">
        <v>5.15</v>
      </c>
      <c r="J332" s="48">
        <v>1</v>
      </c>
      <c r="K332" s="49">
        <v>2.8</v>
      </c>
      <c r="L332" s="53">
        <f t="shared" si="15"/>
        <v>28.84</v>
      </c>
    </row>
    <row r="333" spans="2:12" x14ac:dyDescent="0.2">
      <c r="B333" s="45" t="s">
        <v>24</v>
      </c>
      <c r="C333" s="46" t="e">
        <f>IF(B333="","",VLOOKUP(B333,ORÇAMENTO!$B$7:C201,2,0))</f>
        <v>#N/A</v>
      </c>
      <c r="D333" s="46" t="s">
        <v>122</v>
      </c>
      <c r="E333" s="46" t="e">
        <f>IF(D333="","",VLOOKUP(D333,ORÇAMENTO!$B$7:$E$70,2,0))</f>
        <v>#N/A</v>
      </c>
      <c r="F333" s="46" t="s">
        <v>34</v>
      </c>
      <c r="G333" s="46" t="s">
        <v>48</v>
      </c>
      <c r="H333" s="47">
        <v>2</v>
      </c>
      <c r="I333" s="48">
        <v>7.75</v>
      </c>
      <c r="J333" s="48">
        <v>1</v>
      </c>
      <c r="K333" s="49">
        <v>2.8</v>
      </c>
      <c r="L333" s="53">
        <f t="shared" si="15"/>
        <v>43.4</v>
      </c>
    </row>
    <row r="334" spans="2:12" x14ac:dyDescent="0.2">
      <c r="B334" s="45" t="s">
        <v>24</v>
      </c>
      <c r="C334" s="46" t="e">
        <f>IF(B334="","",VLOOKUP(B334,ORÇAMENTO!$B$7:C202,2,0))</f>
        <v>#N/A</v>
      </c>
      <c r="D334" s="46" t="s">
        <v>122</v>
      </c>
      <c r="E334" s="46" t="e">
        <f>IF(D334="","",VLOOKUP(D334,ORÇAMENTO!$B$7:$E$70,2,0))</f>
        <v>#N/A</v>
      </c>
      <c r="F334" s="46" t="s">
        <v>34</v>
      </c>
      <c r="G334" s="46" t="s">
        <v>48</v>
      </c>
      <c r="H334" s="47">
        <v>1</v>
      </c>
      <c r="I334" s="48">
        <v>12.1</v>
      </c>
      <c r="J334" s="48">
        <v>1</v>
      </c>
      <c r="K334" s="49">
        <v>2.8</v>
      </c>
      <c r="L334" s="53">
        <f t="shared" si="15"/>
        <v>33.879999999999995</v>
      </c>
    </row>
    <row r="335" spans="2:12" x14ac:dyDescent="0.2">
      <c r="B335" s="45" t="s">
        <v>24</v>
      </c>
      <c r="C335" s="46" t="e">
        <f>IF(B335="","",VLOOKUP(B335,ORÇAMENTO!$B$7:C203,2,0))</f>
        <v>#N/A</v>
      </c>
      <c r="D335" s="46" t="s">
        <v>122</v>
      </c>
      <c r="E335" s="46" t="e">
        <f>IF(D335="","",VLOOKUP(D335,ORÇAMENTO!$B$7:$E$70,2,0))</f>
        <v>#N/A</v>
      </c>
      <c r="F335" s="46" t="s">
        <v>34</v>
      </c>
      <c r="G335" s="46" t="s">
        <v>49</v>
      </c>
      <c r="H335" s="47">
        <v>2</v>
      </c>
      <c r="I335" s="48">
        <v>9.4</v>
      </c>
      <c r="J335" s="48">
        <v>1</v>
      </c>
      <c r="K335" s="49">
        <v>2.8</v>
      </c>
      <c r="L335" s="53">
        <f t="shared" si="15"/>
        <v>52.64</v>
      </c>
    </row>
    <row r="336" spans="2:12" x14ac:dyDescent="0.2">
      <c r="B336" s="45" t="s">
        <v>24</v>
      </c>
      <c r="C336" s="46" t="e">
        <f>IF(B336="","",VLOOKUP(B336,ORÇAMENTO!$B$7:C204,2,0))</f>
        <v>#N/A</v>
      </c>
      <c r="D336" s="46" t="s">
        <v>122</v>
      </c>
      <c r="E336" s="46" t="e">
        <f>IF(D336="","",VLOOKUP(D336,ORÇAMENTO!$B$7:$E$70,2,0))</f>
        <v>#N/A</v>
      </c>
      <c r="F336" s="46" t="s">
        <v>34</v>
      </c>
      <c r="G336" s="46" t="s">
        <v>49</v>
      </c>
      <c r="H336" s="47">
        <v>1</v>
      </c>
      <c r="I336" s="48">
        <v>0.8</v>
      </c>
      <c r="J336" s="48">
        <v>1</v>
      </c>
      <c r="K336" s="49">
        <v>2.8</v>
      </c>
      <c r="L336" s="53">
        <f t="shared" si="15"/>
        <v>2.2399999999999998</v>
      </c>
    </row>
    <row r="337" spans="2:12" x14ac:dyDescent="0.2">
      <c r="B337" s="45" t="s">
        <v>24</v>
      </c>
      <c r="C337" s="46" t="e">
        <f>IF(B337="","",VLOOKUP(B337,ORÇAMENTO!$B$7:C205,2,0))</f>
        <v>#N/A</v>
      </c>
      <c r="D337" s="46" t="s">
        <v>122</v>
      </c>
      <c r="E337" s="46" t="e">
        <f>IF(D337="","",VLOOKUP(D337,ORÇAMENTO!$B$7:$E$70,2,0))</f>
        <v>#N/A</v>
      </c>
      <c r="F337" s="46" t="s">
        <v>34</v>
      </c>
      <c r="G337" s="46" t="s">
        <v>50</v>
      </c>
      <c r="H337" s="47">
        <v>2</v>
      </c>
      <c r="I337" s="48">
        <v>4.05</v>
      </c>
      <c r="J337" s="48">
        <v>1</v>
      </c>
      <c r="K337" s="49">
        <v>2.8</v>
      </c>
      <c r="L337" s="53">
        <f t="shared" si="15"/>
        <v>22.679999999999996</v>
      </c>
    </row>
    <row r="338" spans="2:12" x14ac:dyDescent="0.2">
      <c r="B338" s="45" t="s">
        <v>24</v>
      </c>
      <c r="C338" s="46" t="e">
        <f>IF(B338="","",VLOOKUP(B338,ORÇAMENTO!$B$7:C206,2,0))</f>
        <v>#N/A</v>
      </c>
      <c r="D338" s="46" t="s">
        <v>122</v>
      </c>
      <c r="E338" s="46" t="e">
        <f>IF(D338="","",VLOOKUP(D338,ORÇAMENTO!$B$7:$E$70,2,0))</f>
        <v>#N/A</v>
      </c>
      <c r="F338" s="46" t="s">
        <v>34</v>
      </c>
      <c r="G338" s="46" t="s">
        <v>51</v>
      </c>
      <c r="H338" s="47">
        <v>2</v>
      </c>
      <c r="I338" s="48">
        <v>2.7</v>
      </c>
      <c r="J338" s="48">
        <v>1</v>
      </c>
      <c r="K338" s="49">
        <v>2.8</v>
      </c>
      <c r="L338" s="53">
        <f t="shared" si="15"/>
        <v>15.12</v>
      </c>
    </row>
    <row r="339" spans="2:12" x14ac:dyDescent="0.2">
      <c r="B339" s="45" t="s">
        <v>24</v>
      </c>
      <c r="C339" s="46" t="e">
        <f>IF(B339="","",VLOOKUP(B339,ORÇAMENTO!$B$7:C207,2,0))</f>
        <v>#N/A</v>
      </c>
      <c r="D339" s="46" t="s">
        <v>122</v>
      </c>
      <c r="E339" s="46" t="e">
        <f>IF(D339="","",VLOOKUP(D339,ORÇAMENTO!$B$7:$E$70,2,0))</f>
        <v>#N/A</v>
      </c>
      <c r="F339" s="46" t="s">
        <v>34</v>
      </c>
      <c r="G339" s="46" t="s">
        <v>51</v>
      </c>
      <c r="H339" s="47">
        <v>2</v>
      </c>
      <c r="I339" s="48">
        <v>5.2</v>
      </c>
      <c r="J339" s="48">
        <v>1</v>
      </c>
      <c r="K339" s="49">
        <v>2.8</v>
      </c>
      <c r="L339" s="53">
        <f t="shared" si="15"/>
        <v>29.119999999999997</v>
      </c>
    </row>
    <row r="340" spans="2:12" x14ac:dyDescent="0.2">
      <c r="B340" s="45" t="s">
        <v>24</v>
      </c>
      <c r="C340" s="46" t="e">
        <f>IF(B340="","",VLOOKUP(B340,ORÇAMENTO!$B$7:C208,2,0))</f>
        <v>#N/A</v>
      </c>
      <c r="D340" s="46" t="s">
        <v>122</v>
      </c>
      <c r="E340" s="46" t="e">
        <f>IF(D340="","",VLOOKUP(D340,ORÇAMENTO!$B$7:$E$70,2,0))</f>
        <v>#N/A</v>
      </c>
      <c r="F340" s="46" t="s">
        <v>34</v>
      </c>
      <c r="G340" s="46" t="s">
        <v>52</v>
      </c>
      <c r="H340" s="47">
        <v>2</v>
      </c>
      <c r="I340" s="48">
        <v>3.75</v>
      </c>
      <c r="J340" s="48">
        <v>1</v>
      </c>
      <c r="K340" s="49">
        <v>2.8</v>
      </c>
      <c r="L340" s="53">
        <f t="shared" si="15"/>
        <v>21</v>
      </c>
    </row>
    <row r="341" spans="2:12" x14ac:dyDescent="0.2">
      <c r="B341" s="45" t="s">
        <v>24</v>
      </c>
      <c r="C341" s="46" t="e">
        <f>IF(B341="","",VLOOKUP(B341,ORÇAMENTO!$B$7:C209,2,0))</f>
        <v>#N/A</v>
      </c>
      <c r="D341" s="46" t="s">
        <v>122</v>
      </c>
      <c r="E341" s="46" t="e">
        <f>IF(D341="","",VLOOKUP(D341,ORÇAMENTO!$B$7:$E$70,2,0))</f>
        <v>#N/A</v>
      </c>
      <c r="F341" s="46" t="s">
        <v>34</v>
      </c>
      <c r="G341" s="46" t="s">
        <v>53</v>
      </c>
      <c r="H341" s="47">
        <v>1</v>
      </c>
      <c r="I341" s="48">
        <v>11.6</v>
      </c>
      <c r="J341" s="48">
        <v>1</v>
      </c>
      <c r="K341" s="49">
        <v>2.8</v>
      </c>
      <c r="L341" s="53">
        <f t="shared" si="15"/>
        <v>32.479999999999997</v>
      </c>
    </row>
    <row r="342" spans="2:12" x14ac:dyDescent="0.2">
      <c r="B342" s="45" t="s">
        <v>24</v>
      </c>
      <c r="C342" s="46" t="e">
        <f>IF(B342="","",VLOOKUP(B342,ORÇAMENTO!$B$7:C210,2,0))</f>
        <v>#N/A</v>
      </c>
      <c r="D342" s="46" t="s">
        <v>122</v>
      </c>
      <c r="E342" s="46" t="e">
        <f>IF(D342="","",VLOOKUP(D342,ORÇAMENTO!$B$7:$E$70,2,0))</f>
        <v>#N/A</v>
      </c>
      <c r="F342" s="46" t="s">
        <v>15</v>
      </c>
      <c r="G342" s="46" t="s">
        <v>41</v>
      </c>
      <c r="H342" s="47">
        <v>2</v>
      </c>
      <c r="I342" s="48">
        <v>6.3</v>
      </c>
      <c r="J342" s="48">
        <v>1</v>
      </c>
      <c r="K342" s="49">
        <v>3</v>
      </c>
      <c r="L342" s="53">
        <f t="shared" si="15"/>
        <v>37.799999999999997</v>
      </c>
    </row>
    <row r="343" spans="2:12" x14ac:dyDescent="0.2">
      <c r="B343" s="45" t="s">
        <v>24</v>
      </c>
      <c r="C343" s="46" t="e">
        <f>IF(B343="","",VLOOKUP(B343,ORÇAMENTO!$B$7:C211,2,0))</f>
        <v>#N/A</v>
      </c>
      <c r="D343" s="46" t="s">
        <v>122</v>
      </c>
      <c r="E343" s="46" t="e">
        <f>IF(D343="","",VLOOKUP(D343,ORÇAMENTO!$B$7:$E$70,2,0))</f>
        <v>#N/A</v>
      </c>
      <c r="F343" s="46" t="s">
        <v>15</v>
      </c>
      <c r="G343" s="46"/>
      <c r="H343" s="47">
        <v>1</v>
      </c>
      <c r="I343" s="48">
        <v>2.38</v>
      </c>
      <c r="J343" s="48">
        <v>1</v>
      </c>
      <c r="K343" s="49">
        <v>2.8</v>
      </c>
      <c r="L343" s="53">
        <f t="shared" si="15"/>
        <v>6.6639999999999997</v>
      </c>
    </row>
    <row r="344" spans="2:12" x14ac:dyDescent="0.2">
      <c r="B344" s="45" t="s">
        <v>24</v>
      </c>
      <c r="C344" s="46" t="e">
        <f>IF(B344="","",VLOOKUP(B344,ORÇAMENTO!$B$7:C212,2,0))</f>
        <v>#N/A</v>
      </c>
      <c r="D344" s="46" t="s">
        <v>122</v>
      </c>
      <c r="E344" s="46" t="e">
        <f>IF(D344="","",VLOOKUP(D344,ORÇAMENTO!$B$7:$E$70,2,0))</f>
        <v>#N/A</v>
      </c>
      <c r="F344" s="46" t="s">
        <v>15</v>
      </c>
      <c r="G344" s="46"/>
      <c r="H344" s="47">
        <v>1</v>
      </c>
      <c r="I344" s="48">
        <v>2.08</v>
      </c>
      <c r="J344" s="48">
        <v>1</v>
      </c>
      <c r="K344" s="49">
        <v>2.2999999999999998</v>
      </c>
      <c r="L344" s="53">
        <f t="shared" si="15"/>
        <v>4.7839999999999998</v>
      </c>
    </row>
    <row r="345" spans="2:12" x14ac:dyDescent="0.2">
      <c r="B345" s="45" t="s">
        <v>24</v>
      </c>
      <c r="C345" s="46" t="e">
        <f>IF(B345="","",VLOOKUP(B345,ORÇAMENTO!$B$7:C213,2,0))</f>
        <v>#N/A</v>
      </c>
      <c r="D345" s="46" t="s">
        <v>122</v>
      </c>
      <c r="E345" s="46" t="e">
        <f>IF(D345="","",VLOOKUP(D345,ORÇAMENTO!$B$7:$E$70,2,0))</f>
        <v>#N/A</v>
      </c>
      <c r="F345" s="46" t="s">
        <v>15</v>
      </c>
      <c r="G345" s="46"/>
      <c r="H345" s="47">
        <v>1</v>
      </c>
      <c r="I345" s="48">
        <v>18.36</v>
      </c>
      <c r="J345" s="48">
        <v>1</v>
      </c>
      <c r="K345" s="49">
        <v>2.15</v>
      </c>
      <c r="L345" s="53">
        <f t="shared" si="15"/>
        <v>39.473999999999997</v>
      </c>
    </row>
    <row r="346" spans="2:12" x14ac:dyDescent="0.2">
      <c r="B346" s="45" t="s">
        <v>24</v>
      </c>
      <c r="C346" s="46" t="e">
        <f>IF(B346="","",VLOOKUP(B346,ORÇAMENTO!$B$7:C214,2,0))</f>
        <v>#N/A</v>
      </c>
      <c r="D346" s="46" t="s">
        <v>122</v>
      </c>
      <c r="E346" s="46" t="e">
        <f>IF(D346="","",VLOOKUP(D346,ORÇAMENTO!$B$7:$E$70,2,0))</f>
        <v>#N/A</v>
      </c>
      <c r="F346" s="46" t="s">
        <v>15</v>
      </c>
      <c r="G346" s="46"/>
      <c r="H346" s="47">
        <v>1</v>
      </c>
      <c r="I346" s="48">
        <v>11</v>
      </c>
      <c r="J346" s="48">
        <v>1</v>
      </c>
      <c r="K346" s="49">
        <v>1.8</v>
      </c>
      <c r="L346" s="53">
        <f t="shared" ref="L346:L377" si="16">H346*I346*J346*K346</f>
        <v>19.8</v>
      </c>
    </row>
    <row r="347" spans="2:12" x14ac:dyDescent="0.2">
      <c r="B347" s="45" t="s">
        <v>24</v>
      </c>
      <c r="C347" s="46" t="e">
        <f>IF(B347="","",VLOOKUP(B347,ORÇAMENTO!$B$7:C260,2,0))</f>
        <v>#N/A</v>
      </c>
      <c r="D347" s="46" t="s">
        <v>122</v>
      </c>
      <c r="E347" s="46" t="e">
        <f>IF(D347="","",VLOOKUP(D347,ORÇAMENTO!$B$7:$E$70,2,0))</f>
        <v>#N/A</v>
      </c>
      <c r="F347" s="46" t="s">
        <v>15</v>
      </c>
      <c r="G347" s="46"/>
      <c r="H347" s="47">
        <v>1</v>
      </c>
      <c r="I347" s="48">
        <v>24.37</v>
      </c>
      <c r="J347" s="48">
        <v>1</v>
      </c>
      <c r="K347" s="49">
        <v>1.2</v>
      </c>
      <c r="L347" s="53">
        <f t="shared" si="16"/>
        <v>29.244</v>
      </c>
    </row>
    <row r="348" spans="2:12" x14ac:dyDescent="0.2">
      <c r="B348" s="45" t="s">
        <v>24</v>
      </c>
      <c r="C348" s="46" t="e">
        <f>IF(B348="","",VLOOKUP(B348,ORÇAMENTO!$B$7:C261,2,0))</f>
        <v>#N/A</v>
      </c>
      <c r="D348" s="46" t="s">
        <v>122</v>
      </c>
      <c r="E348" s="46" t="e">
        <f>IF(D348="","",VLOOKUP(D348,ORÇAMENTO!$B$7:$E$70,2,0))</f>
        <v>#N/A</v>
      </c>
      <c r="F348" s="46" t="s">
        <v>15</v>
      </c>
      <c r="G348" s="46"/>
      <c r="H348" s="47">
        <v>1</v>
      </c>
      <c r="I348" s="48">
        <v>1.65</v>
      </c>
      <c r="J348" s="48">
        <v>1</v>
      </c>
      <c r="K348" s="49">
        <v>1</v>
      </c>
      <c r="L348" s="53">
        <f t="shared" si="16"/>
        <v>1.65</v>
      </c>
    </row>
    <row r="349" spans="2:12" x14ac:dyDescent="0.2">
      <c r="B349" s="45" t="s">
        <v>24</v>
      </c>
      <c r="C349" s="46" t="e">
        <f>IF(B349="","",VLOOKUP(B349,ORÇAMENTO!$B$7:C262,2,0))</f>
        <v>#N/A</v>
      </c>
      <c r="D349" s="46" t="s">
        <v>122</v>
      </c>
      <c r="E349" s="46" t="e">
        <f>IF(D349="","",VLOOKUP(D349,ORÇAMENTO!$B$7:$E$70,2,0))</f>
        <v>#N/A</v>
      </c>
      <c r="F349" s="46" t="s">
        <v>15</v>
      </c>
      <c r="G349" s="46"/>
      <c r="H349" s="47">
        <v>1</v>
      </c>
      <c r="I349" s="48">
        <v>0.68</v>
      </c>
      <c r="J349" s="48">
        <v>1</v>
      </c>
      <c r="K349" s="49">
        <v>0.5</v>
      </c>
      <c r="L349" s="53">
        <f t="shared" si="16"/>
        <v>0.34</v>
      </c>
    </row>
    <row r="350" spans="2:12" x14ac:dyDescent="0.2">
      <c r="B350" s="45" t="s">
        <v>24</v>
      </c>
      <c r="C350" s="46" t="e">
        <f>IF(B350="","",VLOOKUP(B350,ORÇAMENTO!$B$7:C222,2,0))</f>
        <v>#N/A</v>
      </c>
      <c r="D350" s="46" t="s">
        <v>122</v>
      </c>
      <c r="E350" s="46" t="e">
        <f>IF(D350="","",VLOOKUP(D350,ORÇAMENTO!$B$7:$E$70,2,0))</f>
        <v>#N/A</v>
      </c>
      <c r="F350" s="46" t="s">
        <v>30</v>
      </c>
      <c r="G350" s="46"/>
      <c r="H350" s="47">
        <v>2</v>
      </c>
      <c r="I350" s="48">
        <v>22.05</v>
      </c>
      <c r="J350" s="48">
        <v>1</v>
      </c>
      <c r="K350" s="49">
        <v>1.2</v>
      </c>
      <c r="L350" s="53">
        <f t="shared" si="16"/>
        <v>52.92</v>
      </c>
    </row>
    <row r="351" spans="2:12" x14ac:dyDescent="0.2">
      <c r="B351" s="45" t="s">
        <v>24</v>
      </c>
      <c r="C351" s="46" t="e">
        <f>IF(B351="","",VLOOKUP(B351,ORÇAMENTO!$B$7:C223,2,0))</f>
        <v>#N/A</v>
      </c>
      <c r="D351" s="46" t="s">
        <v>122</v>
      </c>
      <c r="E351" s="46" t="e">
        <f>IF(D351="","",VLOOKUP(D351,ORÇAMENTO!$B$7:$E$70,2,0))</f>
        <v>#N/A</v>
      </c>
      <c r="F351" s="46" t="s">
        <v>30</v>
      </c>
      <c r="G351" s="46" t="s">
        <v>41</v>
      </c>
      <c r="H351" s="47">
        <v>2</v>
      </c>
      <c r="I351" s="48">
        <v>6.3</v>
      </c>
      <c r="J351" s="48">
        <v>1</v>
      </c>
      <c r="K351" s="49">
        <v>3</v>
      </c>
      <c r="L351" s="53">
        <f t="shared" si="16"/>
        <v>37.799999999999997</v>
      </c>
    </row>
    <row r="352" spans="2:12" x14ac:dyDescent="0.2">
      <c r="B352" s="45" t="s">
        <v>24</v>
      </c>
      <c r="C352" s="46" t="e">
        <f>IF(B352="","",VLOOKUP(B352,ORÇAMENTO!$B$7:C224,2,0))</f>
        <v>#N/A</v>
      </c>
      <c r="D352" s="46" t="s">
        <v>122</v>
      </c>
      <c r="E352" s="46" t="e">
        <f>IF(D352="","",VLOOKUP(D352,ORÇAMENTO!$B$7:$E$70,2,0))</f>
        <v>#N/A</v>
      </c>
      <c r="F352" s="46" t="s">
        <v>30</v>
      </c>
      <c r="G352" s="46"/>
      <c r="H352" s="47">
        <v>4</v>
      </c>
      <c r="I352" s="48">
        <v>1.5</v>
      </c>
      <c r="J352" s="48">
        <v>1</v>
      </c>
      <c r="K352" s="49">
        <v>2.8</v>
      </c>
      <c r="L352" s="53">
        <f t="shared" si="16"/>
        <v>16.799999999999997</v>
      </c>
    </row>
    <row r="353" spans="2:12" x14ac:dyDescent="0.2">
      <c r="B353" s="45" t="s">
        <v>24</v>
      </c>
      <c r="C353" s="46" t="e">
        <f>IF(B353="","",VLOOKUP(B353,ORÇAMENTO!$B$7:C225,2,0))</f>
        <v>#N/A</v>
      </c>
      <c r="D353" s="46" t="s">
        <v>122</v>
      </c>
      <c r="E353" s="46" t="e">
        <f>IF(D353="","",VLOOKUP(D353,ORÇAMENTO!$B$7:$E$70,2,0))</f>
        <v>#N/A</v>
      </c>
      <c r="F353" s="46" t="s">
        <v>30</v>
      </c>
      <c r="G353" s="46"/>
      <c r="H353" s="47">
        <v>2</v>
      </c>
      <c r="I353" s="48">
        <v>15.15</v>
      </c>
      <c r="J353" s="48">
        <v>1</v>
      </c>
      <c r="K353" s="49">
        <v>2.8</v>
      </c>
      <c r="L353" s="53">
        <f t="shared" si="16"/>
        <v>84.84</v>
      </c>
    </row>
    <row r="354" spans="2:12" x14ac:dyDescent="0.2">
      <c r="B354" s="45" t="s">
        <v>24</v>
      </c>
      <c r="C354" s="46" t="e">
        <f>IF(B354="","",VLOOKUP(B354,ORÇAMENTO!$B$7:C400,2,0))</f>
        <v>#N/A</v>
      </c>
      <c r="D354" s="46" t="s">
        <v>123</v>
      </c>
      <c r="E354" s="46" t="e">
        <f>IF(D354="","",VLOOKUP(D354,ORÇAMENTO!$B$7:$E$70,2,0))</f>
        <v>#N/A</v>
      </c>
      <c r="F354" s="65" t="s">
        <v>261</v>
      </c>
      <c r="G354" s="59"/>
      <c r="H354" s="47">
        <v>15</v>
      </c>
      <c r="I354" s="48">
        <v>1</v>
      </c>
      <c r="J354" s="48">
        <v>1</v>
      </c>
      <c r="K354" s="49">
        <v>20</v>
      </c>
      <c r="L354" s="66">
        <f t="shared" si="16"/>
        <v>300</v>
      </c>
    </row>
    <row r="355" spans="2:12" x14ac:dyDescent="0.2">
      <c r="B355" s="36" t="s">
        <v>20</v>
      </c>
      <c r="C355" s="37" t="str">
        <f>IF(B355="","",VLOOKUP(B355,ORÇAMENTO!$B$7:C215,2,0))</f>
        <v>INSTALAÇÕES PREDIAIS</v>
      </c>
      <c r="D355" s="37" t="s">
        <v>124</v>
      </c>
      <c r="E355" s="37" t="e">
        <f>IF(D355="","",VLOOKUP(D355,ORÇAMENTO!$B$7:$E$70,2,0))</f>
        <v>#N/A</v>
      </c>
      <c r="F355" s="37" t="s">
        <v>232</v>
      </c>
      <c r="G355" s="37"/>
      <c r="H355" s="58">
        <v>1</v>
      </c>
      <c r="I355" s="40">
        <v>1</v>
      </c>
      <c r="J355" s="40">
        <v>1</v>
      </c>
      <c r="K355" s="41">
        <v>22.18</v>
      </c>
      <c r="L355" s="42">
        <f t="shared" si="16"/>
        <v>22.18</v>
      </c>
    </row>
    <row r="356" spans="2:12" x14ac:dyDescent="0.2">
      <c r="B356" s="36" t="s">
        <v>20</v>
      </c>
      <c r="C356" s="37" t="str">
        <f>IF(B356="","",VLOOKUP(B356,ORÇAMENTO!$B$7:C219,2,0))</f>
        <v>INSTALAÇÕES PREDIAIS</v>
      </c>
      <c r="D356" s="37" t="s">
        <v>124</v>
      </c>
      <c r="E356" s="37" t="e">
        <f>IF(D356="","",VLOOKUP(D356,ORÇAMENTO!$B$7:$E$70,2,0))</f>
        <v>#N/A</v>
      </c>
      <c r="F356" s="37" t="s">
        <v>31</v>
      </c>
      <c r="G356" s="37" t="s">
        <v>54</v>
      </c>
      <c r="H356" s="58">
        <v>1</v>
      </c>
      <c r="I356" s="40">
        <v>1</v>
      </c>
      <c r="J356" s="40">
        <v>1</v>
      </c>
      <c r="K356" s="41">
        <v>14.17</v>
      </c>
      <c r="L356" s="42">
        <f t="shared" si="16"/>
        <v>14.17</v>
      </c>
    </row>
    <row r="357" spans="2:12" x14ac:dyDescent="0.2">
      <c r="B357" s="36" t="s">
        <v>20</v>
      </c>
      <c r="C357" s="37" t="str">
        <f>IF(B357="","",VLOOKUP(B357,ORÇAMENTO!$B$7:C259,2,0))</f>
        <v>INSTALAÇÕES PREDIAIS</v>
      </c>
      <c r="D357" s="37" t="s">
        <v>124</v>
      </c>
      <c r="E357" s="37" t="e">
        <f>IF(D357="","",VLOOKUP(D357,ORÇAMENTO!$B$7:$E$70,2,0))</f>
        <v>#N/A</v>
      </c>
      <c r="F357" s="37" t="s">
        <v>28</v>
      </c>
      <c r="G357" s="37" t="s">
        <v>54</v>
      </c>
      <c r="H357" s="58">
        <v>1</v>
      </c>
      <c r="I357" s="40">
        <v>1</v>
      </c>
      <c r="J357" s="40">
        <v>1</v>
      </c>
      <c r="K357" s="41">
        <v>255.04</v>
      </c>
      <c r="L357" s="42">
        <f t="shared" si="16"/>
        <v>255.04</v>
      </c>
    </row>
    <row r="358" spans="2:12" x14ac:dyDescent="0.2">
      <c r="B358" s="36" t="s">
        <v>20</v>
      </c>
      <c r="C358" s="37" t="str">
        <f>IF(B358="","",VLOOKUP(B358,ORÇAMENTO!$B$7:C269,2,0))</f>
        <v>INSTALAÇÕES PREDIAIS</v>
      </c>
      <c r="D358" s="37" t="s">
        <v>124</v>
      </c>
      <c r="E358" s="37" t="e">
        <f>IF(D358="","",VLOOKUP(D358,ORÇAMENTO!$B$7:$E$70,2,0))</f>
        <v>#N/A</v>
      </c>
      <c r="F358" s="37" t="s">
        <v>29</v>
      </c>
      <c r="G358" s="37" t="s">
        <v>54</v>
      </c>
      <c r="H358" s="58">
        <v>5</v>
      </c>
      <c r="I358" s="40">
        <v>1</v>
      </c>
      <c r="J358" s="40">
        <v>1</v>
      </c>
      <c r="K358" s="41">
        <v>154.03</v>
      </c>
      <c r="L358" s="42">
        <f t="shared" si="16"/>
        <v>770.15</v>
      </c>
    </row>
    <row r="359" spans="2:12" x14ac:dyDescent="0.2">
      <c r="B359" s="36" t="s">
        <v>20</v>
      </c>
      <c r="C359" s="37" t="str">
        <f>IF(B359="","",VLOOKUP(B359,ORÇAMENTO!$B$7:C280,2,0))</f>
        <v>INSTALAÇÕES PREDIAIS</v>
      </c>
      <c r="D359" s="37" t="s">
        <v>124</v>
      </c>
      <c r="E359" s="37" t="e">
        <f>IF(D359="","",VLOOKUP(D359,ORÇAMENTO!$B$7:$E$70,2,0))</f>
        <v>#N/A</v>
      </c>
      <c r="F359" s="37" t="s">
        <v>34</v>
      </c>
      <c r="G359" s="37" t="s">
        <v>54</v>
      </c>
      <c r="H359" s="58">
        <v>1</v>
      </c>
      <c r="I359" s="40">
        <v>1</v>
      </c>
      <c r="J359" s="40">
        <v>1</v>
      </c>
      <c r="K359" s="41">
        <v>154.03</v>
      </c>
      <c r="L359" s="42">
        <f t="shared" si="16"/>
        <v>154.03</v>
      </c>
    </row>
    <row r="360" spans="2:12" x14ac:dyDescent="0.2">
      <c r="B360" s="36" t="s">
        <v>20</v>
      </c>
      <c r="C360" s="37" t="str">
        <f>IF(B360="","",VLOOKUP(B360,ORÇAMENTO!$B$7:C291,2,0))</f>
        <v>INSTALAÇÕES PREDIAIS</v>
      </c>
      <c r="D360" s="37" t="s">
        <v>124</v>
      </c>
      <c r="E360" s="37" t="e">
        <f>IF(D360="","",VLOOKUP(D360,ORÇAMENTO!$B$7:$E$70,2,0))</f>
        <v>#N/A</v>
      </c>
      <c r="F360" s="37" t="s">
        <v>15</v>
      </c>
      <c r="G360" s="37" t="s">
        <v>54</v>
      </c>
      <c r="H360" s="58">
        <v>1</v>
      </c>
      <c r="I360" s="40">
        <v>1</v>
      </c>
      <c r="J360" s="40">
        <v>1</v>
      </c>
      <c r="K360" s="41">
        <v>146.30000000000001</v>
      </c>
      <c r="L360" s="42">
        <f t="shared" si="16"/>
        <v>146.30000000000001</v>
      </c>
    </row>
    <row r="361" spans="2:12" x14ac:dyDescent="0.2">
      <c r="B361" s="36" t="s">
        <v>20</v>
      </c>
      <c r="C361" s="37" t="str">
        <f>IF(B361="","",VLOOKUP(B361,ORÇAMENTO!$B$7:C295,2,0))</f>
        <v>INSTALAÇÕES PREDIAIS</v>
      </c>
      <c r="D361" s="37" t="s">
        <v>124</v>
      </c>
      <c r="E361" s="37" t="e">
        <f>IF(D361="","",VLOOKUP(D361,ORÇAMENTO!$B$7:$E$70,2,0))</f>
        <v>#N/A</v>
      </c>
      <c r="F361" s="37" t="s">
        <v>30</v>
      </c>
      <c r="G361" s="37" t="s">
        <v>54</v>
      </c>
      <c r="H361" s="58">
        <v>1</v>
      </c>
      <c r="I361" s="40">
        <v>1</v>
      </c>
      <c r="J361" s="40">
        <v>1</v>
      </c>
      <c r="K361" s="41">
        <v>31.12</v>
      </c>
      <c r="L361" s="42">
        <f t="shared" si="16"/>
        <v>31.12</v>
      </c>
    </row>
    <row r="362" spans="2:12" x14ac:dyDescent="0.2">
      <c r="B362" s="36" t="s">
        <v>20</v>
      </c>
      <c r="C362" s="37" t="str">
        <f>IF(B362="","",VLOOKUP(B362,ORÇAMENTO!$B$7:C220,2,0))</f>
        <v>INSTALAÇÕES PREDIAIS</v>
      </c>
      <c r="D362" s="37" t="s">
        <v>125</v>
      </c>
      <c r="E362" s="37" t="e">
        <f>IF(D362="","",VLOOKUP(D362,ORÇAMENTO!$B$7:$E$70,2,0))</f>
        <v>#N/A</v>
      </c>
      <c r="F362" s="37" t="s">
        <v>31</v>
      </c>
      <c r="G362" s="37" t="s">
        <v>54</v>
      </c>
      <c r="H362" s="58">
        <v>1</v>
      </c>
      <c r="I362" s="40">
        <v>1</v>
      </c>
      <c r="J362" s="40">
        <v>1</v>
      </c>
      <c r="K362" s="41">
        <v>209.35</v>
      </c>
      <c r="L362" s="42">
        <f t="shared" si="16"/>
        <v>209.35</v>
      </c>
    </row>
    <row r="363" spans="2:12" x14ac:dyDescent="0.2">
      <c r="B363" s="36" t="s">
        <v>20</v>
      </c>
      <c r="C363" s="37" t="str">
        <f>IF(B363="","",VLOOKUP(B363,ORÇAMENTO!$B$7:C217,2,0))</f>
        <v>INSTALAÇÕES PREDIAIS</v>
      </c>
      <c r="D363" s="37" t="s">
        <v>126</v>
      </c>
      <c r="E363" s="37" t="e">
        <f>IF(D363="","",VLOOKUP(D363,ORÇAMENTO!$B$7:$E$70,2,0))</f>
        <v>#N/A</v>
      </c>
      <c r="F363" s="37" t="s">
        <v>232</v>
      </c>
      <c r="G363" s="37" t="s">
        <v>40</v>
      </c>
      <c r="H363" s="58">
        <v>1</v>
      </c>
      <c r="I363" s="40">
        <v>1</v>
      </c>
      <c r="J363" s="40">
        <v>1</v>
      </c>
      <c r="K363" s="41">
        <v>218.29</v>
      </c>
      <c r="L363" s="42">
        <f t="shared" si="16"/>
        <v>218.29</v>
      </c>
    </row>
    <row r="364" spans="2:12" x14ac:dyDescent="0.2">
      <c r="B364" s="36" t="s">
        <v>20</v>
      </c>
      <c r="C364" s="37" t="str">
        <f>IF(B364="","",VLOOKUP(B364,ORÇAMENTO!$B$7:C221,2,0))</f>
        <v>INSTALAÇÕES PREDIAIS</v>
      </c>
      <c r="D364" s="37" t="s">
        <v>126</v>
      </c>
      <c r="E364" s="37" t="e">
        <f>IF(D364="","",VLOOKUP(D364,ORÇAMENTO!$B$7:$E$70,2,0))</f>
        <v>#N/A</v>
      </c>
      <c r="F364" s="37" t="s">
        <v>31</v>
      </c>
      <c r="G364" s="37" t="s">
        <v>41</v>
      </c>
      <c r="H364" s="58">
        <v>1</v>
      </c>
      <c r="I364" s="40">
        <v>1</v>
      </c>
      <c r="J364" s="40">
        <v>1</v>
      </c>
      <c r="K364" s="41">
        <v>8.5510000000000002</v>
      </c>
      <c r="L364" s="42">
        <f t="shared" si="16"/>
        <v>8.5510000000000002</v>
      </c>
    </row>
    <row r="365" spans="2:12" x14ac:dyDescent="0.2">
      <c r="B365" s="36" t="s">
        <v>20</v>
      </c>
      <c r="C365" s="37" t="str">
        <f>IF(B365="","",VLOOKUP(B365,ORÇAMENTO!$B$7:C222,2,0))</f>
        <v>INSTALAÇÕES PREDIAIS</v>
      </c>
      <c r="D365" s="37" t="s">
        <v>126</v>
      </c>
      <c r="E365" s="37" t="e">
        <f>IF(D365="","",VLOOKUP(D365,ORÇAMENTO!$B$7:$E$70,2,0))</f>
        <v>#N/A</v>
      </c>
      <c r="F365" s="37" t="s">
        <v>31</v>
      </c>
      <c r="G365" s="37" t="s">
        <v>41</v>
      </c>
      <c r="H365" s="58">
        <v>14</v>
      </c>
      <c r="I365" s="40">
        <v>1.2</v>
      </c>
      <c r="J365" s="40">
        <v>0.15</v>
      </c>
      <c r="K365" s="41">
        <v>1</v>
      </c>
      <c r="L365" s="42">
        <f t="shared" si="16"/>
        <v>2.52</v>
      </c>
    </row>
    <row r="366" spans="2:12" x14ac:dyDescent="0.2">
      <c r="B366" s="36" t="s">
        <v>20</v>
      </c>
      <c r="C366" s="37" t="str">
        <f>IF(B366="","",VLOOKUP(B366,ORÇAMENTO!$B$7:C260,2,0))</f>
        <v>INSTALAÇÕES PREDIAIS</v>
      </c>
      <c r="D366" s="37" t="s">
        <v>126</v>
      </c>
      <c r="E366" s="37" t="e">
        <f>IF(D366="","",VLOOKUP(D366,ORÇAMENTO!$B$7:$E$70,2,0))</f>
        <v>#N/A</v>
      </c>
      <c r="F366" s="37" t="s">
        <v>28</v>
      </c>
      <c r="G366" s="37" t="s">
        <v>41</v>
      </c>
      <c r="H366" s="58">
        <v>14</v>
      </c>
      <c r="I366" s="40">
        <v>1.2</v>
      </c>
      <c r="J366" s="40">
        <v>1</v>
      </c>
      <c r="K366" s="41">
        <v>0.15</v>
      </c>
      <c r="L366" s="42">
        <f t="shared" si="16"/>
        <v>2.52</v>
      </c>
    </row>
    <row r="367" spans="2:12" x14ac:dyDescent="0.2">
      <c r="B367" s="36" t="s">
        <v>20</v>
      </c>
      <c r="C367" s="37" t="str">
        <f>IF(B367="","",VLOOKUP(B367,ORÇAMENTO!$B$7:C261,2,0))</f>
        <v>INSTALAÇÕES PREDIAIS</v>
      </c>
      <c r="D367" s="37" t="s">
        <v>126</v>
      </c>
      <c r="E367" s="37" t="e">
        <f>IF(D367="","",VLOOKUP(D367,ORÇAMENTO!$B$7:$E$70,2,0))</f>
        <v>#N/A</v>
      </c>
      <c r="F367" s="37" t="s">
        <v>28</v>
      </c>
      <c r="G367" s="37" t="s">
        <v>41</v>
      </c>
      <c r="H367" s="58">
        <v>1</v>
      </c>
      <c r="I367" s="40">
        <v>1</v>
      </c>
      <c r="J367" s="40">
        <v>1</v>
      </c>
      <c r="K367" s="41">
        <v>8.5500000000000007</v>
      </c>
      <c r="L367" s="42">
        <f t="shared" si="16"/>
        <v>8.5500000000000007</v>
      </c>
    </row>
    <row r="368" spans="2:12" x14ac:dyDescent="0.2">
      <c r="B368" s="36" t="s">
        <v>20</v>
      </c>
      <c r="C368" s="37" t="str">
        <f>IF(B368="","",VLOOKUP(B368,ORÇAMENTO!$B$7:C262,2,0))</f>
        <v>INSTALAÇÕES PREDIAIS</v>
      </c>
      <c r="D368" s="37" t="s">
        <v>126</v>
      </c>
      <c r="E368" s="37" t="e">
        <f>IF(D368="","",VLOOKUP(D368,ORÇAMENTO!$B$7:$E$70,2,0))</f>
        <v>#N/A</v>
      </c>
      <c r="F368" s="37" t="s">
        <v>28</v>
      </c>
      <c r="G368" s="37" t="s">
        <v>54</v>
      </c>
      <c r="H368" s="58">
        <v>1</v>
      </c>
      <c r="I368" s="40">
        <v>1</v>
      </c>
      <c r="J368" s="40">
        <v>1</v>
      </c>
      <c r="K368" s="41">
        <v>262.48</v>
      </c>
      <c r="L368" s="42">
        <f t="shared" si="16"/>
        <v>262.48</v>
      </c>
    </row>
    <row r="369" spans="2:12" x14ac:dyDescent="0.2">
      <c r="B369" s="36" t="s">
        <v>20</v>
      </c>
      <c r="C369" s="37" t="str">
        <f>IF(B369="","",VLOOKUP(B369,ORÇAMENTO!$B$7:C270,2,0))</f>
        <v>INSTALAÇÕES PREDIAIS</v>
      </c>
      <c r="D369" s="37" t="s">
        <v>126</v>
      </c>
      <c r="E369" s="37" t="e">
        <f>IF(D369="","",VLOOKUP(D369,ORÇAMENTO!$B$7:$E$70,2,0))</f>
        <v>#N/A</v>
      </c>
      <c r="F369" s="37" t="s">
        <v>29</v>
      </c>
      <c r="G369" s="37" t="s">
        <v>41</v>
      </c>
      <c r="H369" s="58">
        <v>1</v>
      </c>
      <c r="I369" s="40">
        <v>1</v>
      </c>
      <c r="J369" s="40">
        <v>1</v>
      </c>
      <c r="K369" s="41">
        <v>8.5500000000000007</v>
      </c>
      <c r="L369" s="42">
        <f t="shared" si="16"/>
        <v>8.5500000000000007</v>
      </c>
    </row>
    <row r="370" spans="2:12" x14ac:dyDescent="0.2">
      <c r="B370" s="36" t="s">
        <v>20</v>
      </c>
      <c r="C370" s="37" t="str">
        <f>IF(B370="","",VLOOKUP(B370,ORÇAMENTO!$B$7:C271,2,0))</f>
        <v>INSTALAÇÕES PREDIAIS</v>
      </c>
      <c r="D370" s="37" t="s">
        <v>126</v>
      </c>
      <c r="E370" s="37" t="e">
        <f>IF(D370="","",VLOOKUP(D370,ORÇAMENTO!$B$7:$E$70,2,0))</f>
        <v>#N/A</v>
      </c>
      <c r="F370" s="37" t="s">
        <v>29</v>
      </c>
      <c r="G370" s="37" t="s">
        <v>41</v>
      </c>
      <c r="H370" s="58">
        <f>14*5</f>
        <v>70</v>
      </c>
      <c r="I370" s="40">
        <v>1.2</v>
      </c>
      <c r="J370" s="40">
        <v>1</v>
      </c>
      <c r="K370" s="41">
        <v>0.15</v>
      </c>
      <c r="L370" s="42">
        <f t="shared" si="16"/>
        <v>12.6</v>
      </c>
    </row>
    <row r="371" spans="2:12" x14ac:dyDescent="0.2">
      <c r="B371" s="36" t="s">
        <v>20</v>
      </c>
      <c r="C371" s="37" t="str">
        <f>IF(B371="","",VLOOKUP(B371,ORÇAMENTO!$B$7:C272,2,0))</f>
        <v>INSTALAÇÕES PREDIAIS</v>
      </c>
      <c r="D371" s="37" t="s">
        <v>126</v>
      </c>
      <c r="E371" s="37" t="e">
        <f>IF(D371="","",VLOOKUP(D371,ORÇAMENTO!$B$7:$E$70,2,0))</f>
        <v>#N/A</v>
      </c>
      <c r="F371" s="37" t="s">
        <v>29</v>
      </c>
      <c r="G371" s="37" t="s">
        <v>67</v>
      </c>
      <c r="H371" s="58">
        <f>5*1</f>
        <v>5</v>
      </c>
      <c r="I371" s="40">
        <v>2.5</v>
      </c>
      <c r="J371" s="40">
        <v>1</v>
      </c>
      <c r="K371" s="41">
        <v>1.8</v>
      </c>
      <c r="L371" s="42">
        <f t="shared" si="16"/>
        <v>22.5</v>
      </c>
    </row>
    <row r="372" spans="2:12" x14ac:dyDescent="0.2">
      <c r="B372" s="36" t="s">
        <v>20</v>
      </c>
      <c r="C372" s="37" t="str">
        <f>IF(B372="","",VLOOKUP(B372,ORÇAMENTO!$B$7:C281,2,0))</f>
        <v>INSTALAÇÕES PREDIAIS</v>
      </c>
      <c r="D372" s="37" t="s">
        <v>126</v>
      </c>
      <c r="E372" s="37" t="e">
        <f>IF(D372="","",VLOOKUP(D372,ORÇAMENTO!$B$7:$E$70,2,0))</f>
        <v>#N/A</v>
      </c>
      <c r="F372" s="37" t="s">
        <v>34</v>
      </c>
      <c r="G372" s="37" t="s">
        <v>41</v>
      </c>
      <c r="H372" s="58">
        <v>1</v>
      </c>
      <c r="I372" s="40">
        <v>1</v>
      </c>
      <c r="J372" s="40">
        <v>1</v>
      </c>
      <c r="K372" s="41">
        <v>8.5500000000000007</v>
      </c>
      <c r="L372" s="42">
        <f t="shared" si="16"/>
        <v>8.5500000000000007</v>
      </c>
    </row>
    <row r="373" spans="2:12" x14ac:dyDescent="0.2">
      <c r="B373" s="36" t="s">
        <v>20</v>
      </c>
      <c r="C373" s="37" t="str">
        <f>IF(B373="","",VLOOKUP(B373,ORÇAMENTO!$B$7:C282,2,0))</f>
        <v>INSTALAÇÕES PREDIAIS</v>
      </c>
      <c r="D373" s="37" t="s">
        <v>126</v>
      </c>
      <c r="E373" s="37" t="e">
        <f>IF(D373="","",VLOOKUP(D373,ORÇAMENTO!$B$7:$E$70,2,0))</f>
        <v>#N/A</v>
      </c>
      <c r="F373" s="37" t="s">
        <v>34</v>
      </c>
      <c r="G373" s="37" t="s">
        <v>41</v>
      </c>
      <c r="H373" s="58">
        <v>14</v>
      </c>
      <c r="I373" s="40">
        <v>1.2</v>
      </c>
      <c r="J373" s="40">
        <v>1</v>
      </c>
      <c r="K373" s="41">
        <v>0.15</v>
      </c>
      <c r="L373" s="42">
        <f t="shared" si="16"/>
        <v>2.52</v>
      </c>
    </row>
    <row r="374" spans="2:12" x14ac:dyDescent="0.2">
      <c r="B374" s="36" t="s">
        <v>20</v>
      </c>
      <c r="C374" s="37" t="str">
        <f>IF(B374="","",VLOOKUP(B374,ORÇAMENTO!$B$7:C283,2,0))</f>
        <v>INSTALAÇÕES PREDIAIS</v>
      </c>
      <c r="D374" s="37" t="s">
        <v>126</v>
      </c>
      <c r="E374" s="37" t="e">
        <f>IF(D374="","",VLOOKUP(D374,ORÇAMENTO!$B$7:$E$70,2,0))</f>
        <v>#N/A</v>
      </c>
      <c r="F374" s="37" t="s">
        <v>34</v>
      </c>
      <c r="G374" s="37" t="s">
        <v>67</v>
      </c>
      <c r="H374" s="58">
        <v>1</v>
      </c>
      <c r="I374" s="40">
        <v>2.5</v>
      </c>
      <c r="J374" s="40">
        <v>1</v>
      </c>
      <c r="K374" s="41">
        <v>1.8</v>
      </c>
      <c r="L374" s="42">
        <f t="shared" si="16"/>
        <v>4.5</v>
      </c>
    </row>
    <row r="375" spans="2:12" x14ac:dyDescent="0.2">
      <c r="B375" s="36" t="s">
        <v>20</v>
      </c>
      <c r="C375" s="37" t="str">
        <f>IF(B375="","",VLOOKUP(B375,ORÇAMENTO!$B$7:C292,2,0))</f>
        <v>INSTALAÇÕES PREDIAIS</v>
      </c>
      <c r="D375" s="37" t="s">
        <v>126</v>
      </c>
      <c r="E375" s="37" t="e">
        <f>IF(D375="","",VLOOKUP(D375,ORÇAMENTO!$B$7:$E$70,2,0))</f>
        <v>#N/A</v>
      </c>
      <c r="F375" s="37" t="s">
        <v>15</v>
      </c>
      <c r="G375" s="37" t="s">
        <v>41</v>
      </c>
      <c r="H375" s="58">
        <v>1</v>
      </c>
      <c r="I375" s="40">
        <v>1</v>
      </c>
      <c r="J375" s="40">
        <v>1</v>
      </c>
      <c r="K375" s="41">
        <v>8.5500000000000007</v>
      </c>
      <c r="L375" s="42">
        <f t="shared" si="16"/>
        <v>8.5500000000000007</v>
      </c>
    </row>
    <row r="376" spans="2:12" x14ac:dyDescent="0.2">
      <c r="B376" s="36" t="s">
        <v>20</v>
      </c>
      <c r="C376" s="37" t="str">
        <f>IF(B376="","",VLOOKUP(B376,ORÇAMENTO!$B$7:C293,2,0))</f>
        <v>INSTALAÇÕES PREDIAIS</v>
      </c>
      <c r="D376" s="37" t="s">
        <v>126</v>
      </c>
      <c r="E376" s="37" t="e">
        <f>IF(D376="","",VLOOKUP(D376,ORÇAMENTO!$B$7:$E$70,2,0))</f>
        <v>#N/A</v>
      </c>
      <c r="F376" s="37" t="s">
        <v>15</v>
      </c>
      <c r="G376" s="37" t="s">
        <v>41</v>
      </c>
      <c r="H376" s="58">
        <v>14</v>
      </c>
      <c r="I376" s="40">
        <v>1.2</v>
      </c>
      <c r="J376" s="40">
        <v>1</v>
      </c>
      <c r="K376" s="41">
        <v>0.15</v>
      </c>
      <c r="L376" s="42">
        <f t="shared" si="16"/>
        <v>2.52</v>
      </c>
    </row>
    <row r="377" spans="2:12" x14ac:dyDescent="0.2">
      <c r="B377" s="36" t="s">
        <v>20</v>
      </c>
      <c r="C377" s="37" t="str">
        <f>IF(B377="","",VLOOKUP(B377,ORÇAMENTO!$B$7:C296,2,0))</f>
        <v>INSTALAÇÕES PREDIAIS</v>
      </c>
      <c r="D377" s="37" t="s">
        <v>126</v>
      </c>
      <c r="E377" s="37" t="e">
        <f>IF(D377="","",VLOOKUP(D377,ORÇAMENTO!$B$7:$E$70,2,0))</f>
        <v>#N/A</v>
      </c>
      <c r="F377" s="37" t="s">
        <v>30</v>
      </c>
      <c r="G377" s="37"/>
      <c r="H377" s="58">
        <v>1</v>
      </c>
      <c r="I377" s="40">
        <v>1</v>
      </c>
      <c r="J377" s="40">
        <v>1</v>
      </c>
      <c r="K377" s="41">
        <v>34.11</v>
      </c>
      <c r="L377" s="42">
        <f t="shared" si="16"/>
        <v>34.11</v>
      </c>
    </row>
    <row r="378" spans="2:12" x14ac:dyDescent="0.2">
      <c r="B378" s="36" t="s">
        <v>20</v>
      </c>
      <c r="C378" s="37" t="str">
        <f>IF(B378="","",VLOOKUP(B378,ORÇAMENTO!$B$7:C223,2,0))</f>
        <v>INSTALAÇÕES PREDIAIS</v>
      </c>
      <c r="D378" s="37" t="s">
        <v>127</v>
      </c>
      <c r="E378" s="37" t="e">
        <f>IF(D378="","",VLOOKUP(D378,ORÇAMENTO!$B$7:$E$70,2,0))</f>
        <v>#N/A</v>
      </c>
      <c r="F378" s="37" t="s">
        <v>31</v>
      </c>
      <c r="G378" s="37" t="s">
        <v>55</v>
      </c>
      <c r="H378" s="58">
        <v>1</v>
      </c>
      <c r="I378" s="40">
        <v>1</v>
      </c>
      <c r="J378" s="40">
        <v>1</v>
      </c>
      <c r="K378" s="41">
        <v>10.029999999999999</v>
      </c>
      <c r="L378" s="42">
        <f t="shared" ref="L378:L409" si="17">H378*I378*J378*K378</f>
        <v>10.029999999999999</v>
      </c>
    </row>
    <row r="379" spans="2:12" x14ac:dyDescent="0.2">
      <c r="B379" s="36" t="s">
        <v>20</v>
      </c>
      <c r="C379" s="37" t="str">
        <f>IF(B379="","",VLOOKUP(B379,ORÇAMENTO!$B$7:C278,2,0))</f>
        <v>INSTALAÇÕES PREDIAIS</v>
      </c>
      <c r="D379" s="37" t="s">
        <v>127</v>
      </c>
      <c r="E379" s="37" t="e">
        <f>IF(D379="","",VLOOKUP(D379,ORÇAMENTO!$B$7:$E$70,2,0))</f>
        <v>#N/A</v>
      </c>
      <c r="F379" s="37" t="s">
        <v>29</v>
      </c>
      <c r="G379" s="37" t="s">
        <v>55</v>
      </c>
      <c r="H379" s="58">
        <v>5</v>
      </c>
      <c r="I379" s="40">
        <v>1</v>
      </c>
      <c r="J379" s="40">
        <v>1</v>
      </c>
      <c r="K379" s="41">
        <v>3</v>
      </c>
      <c r="L379" s="42">
        <f t="shared" si="17"/>
        <v>15</v>
      </c>
    </row>
    <row r="380" spans="2:12" x14ac:dyDescent="0.2">
      <c r="B380" s="36" t="s">
        <v>20</v>
      </c>
      <c r="C380" s="37" t="str">
        <f>IF(B380="","",VLOOKUP(B380,ORÇAMENTO!$B$7:C289,2,0))</f>
        <v>INSTALAÇÕES PREDIAIS</v>
      </c>
      <c r="D380" s="37" t="s">
        <v>127</v>
      </c>
      <c r="E380" s="37" t="e">
        <f>IF(D380="","",VLOOKUP(D380,ORÇAMENTO!$B$7:$E$70,2,0))</f>
        <v>#N/A</v>
      </c>
      <c r="F380" s="37" t="s">
        <v>34</v>
      </c>
      <c r="G380" s="37" t="s">
        <v>55</v>
      </c>
      <c r="H380" s="58">
        <v>1</v>
      </c>
      <c r="I380" s="40">
        <v>1</v>
      </c>
      <c r="J380" s="40">
        <v>1</v>
      </c>
      <c r="K380" s="41">
        <v>3</v>
      </c>
      <c r="L380" s="42">
        <f t="shared" si="17"/>
        <v>3</v>
      </c>
    </row>
    <row r="381" spans="2:12" x14ac:dyDescent="0.2">
      <c r="B381" s="36" t="s">
        <v>20</v>
      </c>
      <c r="C381" s="37" t="str">
        <f>IF(B381="","",VLOOKUP(B381,ORÇAMENTO!$B$7:C224,2,0))</f>
        <v>INSTALAÇÕES PREDIAIS</v>
      </c>
      <c r="D381" s="37" t="s">
        <v>128</v>
      </c>
      <c r="E381" s="37" t="e">
        <f>IF(D381="","",VLOOKUP(D381,ORÇAMENTO!$B$7:$E$70,2,0))</f>
        <v>#N/A</v>
      </c>
      <c r="F381" s="37" t="s">
        <v>31</v>
      </c>
      <c r="G381" s="37" t="s">
        <v>56</v>
      </c>
      <c r="H381" s="58">
        <v>1</v>
      </c>
      <c r="I381" s="40">
        <v>1</v>
      </c>
      <c r="J381" s="40">
        <v>1</v>
      </c>
      <c r="K381" s="41">
        <v>7.35</v>
      </c>
      <c r="L381" s="42">
        <f t="shared" si="17"/>
        <v>7.35</v>
      </c>
    </row>
    <row r="382" spans="2:12" x14ac:dyDescent="0.2">
      <c r="B382" s="36" t="s">
        <v>20</v>
      </c>
      <c r="C382" s="37" t="str">
        <f>IF(B382="","",VLOOKUP(B382,ORÇAMENTO!$B$7:C269,2,0))</f>
        <v>INSTALAÇÕES PREDIAIS</v>
      </c>
      <c r="D382" s="37" t="s">
        <v>128</v>
      </c>
      <c r="E382" s="37" t="e">
        <f>IF(D382="","",VLOOKUP(D382,ORÇAMENTO!$B$7:$E$70,2,0))</f>
        <v>#N/A</v>
      </c>
      <c r="F382" s="37" t="s">
        <v>28</v>
      </c>
      <c r="G382" s="37" t="s">
        <v>66</v>
      </c>
      <c r="H382" s="58">
        <v>1</v>
      </c>
      <c r="I382" s="40">
        <v>1</v>
      </c>
      <c r="J382" s="40">
        <v>1</v>
      </c>
      <c r="K382" s="41">
        <v>17.09</v>
      </c>
      <c r="L382" s="42">
        <f t="shared" si="17"/>
        <v>17.09</v>
      </c>
    </row>
    <row r="383" spans="2:12" x14ac:dyDescent="0.2">
      <c r="B383" s="36" t="s">
        <v>20</v>
      </c>
      <c r="C383" s="37" t="str">
        <f>IF(B383="","",VLOOKUP(B383,ORÇAMENTO!$B$7:C270,2,0))</f>
        <v>INSTALAÇÕES PREDIAIS</v>
      </c>
      <c r="D383" s="37" t="s">
        <v>128</v>
      </c>
      <c r="E383" s="37" t="e">
        <f>IF(D383="","",VLOOKUP(D383,ORÇAMENTO!$B$7:$E$70,2,0))</f>
        <v>#N/A</v>
      </c>
      <c r="F383" s="37" t="s">
        <v>28</v>
      </c>
      <c r="G383" s="37" t="s">
        <v>66</v>
      </c>
      <c r="H383" s="58">
        <v>1</v>
      </c>
      <c r="I383" s="40">
        <v>1</v>
      </c>
      <c r="J383" s="40">
        <v>1</v>
      </c>
      <c r="K383" s="41">
        <v>5.88</v>
      </c>
      <c r="L383" s="42">
        <f t="shared" si="17"/>
        <v>5.88</v>
      </c>
    </row>
    <row r="384" spans="2:12" x14ac:dyDescent="0.2">
      <c r="B384" s="36" t="s">
        <v>20</v>
      </c>
      <c r="C384" s="37" t="str">
        <f>IF(B384="","",VLOOKUP(B384,ORÇAMENTO!$B$7:C271,2,0))</f>
        <v>INSTALAÇÕES PREDIAIS</v>
      </c>
      <c r="D384" s="37" t="s">
        <v>128</v>
      </c>
      <c r="E384" s="37" t="e">
        <f>IF(D384="","",VLOOKUP(D384,ORÇAMENTO!$B$7:$E$70,2,0))</f>
        <v>#N/A</v>
      </c>
      <c r="F384" s="37" t="s">
        <v>28</v>
      </c>
      <c r="G384" s="37" t="s">
        <v>66</v>
      </c>
      <c r="H384" s="58">
        <v>1</v>
      </c>
      <c r="I384" s="40">
        <v>1</v>
      </c>
      <c r="J384" s="40">
        <v>1</v>
      </c>
      <c r="K384" s="41">
        <v>4.03</v>
      </c>
      <c r="L384" s="42">
        <f t="shared" si="17"/>
        <v>4.03</v>
      </c>
    </row>
    <row r="385" spans="2:12" x14ac:dyDescent="0.2">
      <c r="B385" s="36" t="s">
        <v>20</v>
      </c>
      <c r="C385" s="37" t="str">
        <f>IF(B385="","",VLOOKUP(B385,ORÇAMENTO!$B$7:C272,2,0))</f>
        <v>INSTALAÇÕES PREDIAIS</v>
      </c>
      <c r="D385" s="37" t="s">
        <v>128</v>
      </c>
      <c r="E385" s="37" t="e">
        <f>IF(D385="","",VLOOKUP(D385,ORÇAMENTO!$B$7:$E$70,2,0))</f>
        <v>#N/A</v>
      </c>
      <c r="F385" s="37" t="s">
        <v>28</v>
      </c>
      <c r="G385" s="37" t="s">
        <v>66</v>
      </c>
      <c r="H385" s="58">
        <v>1</v>
      </c>
      <c r="I385" s="40">
        <v>1</v>
      </c>
      <c r="J385" s="40">
        <v>1</v>
      </c>
      <c r="K385" s="41">
        <v>11.36</v>
      </c>
      <c r="L385" s="42">
        <f t="shared" si="17"/>
        <v>11.36</v>
      </c>
    </row>
    <row r="386" spans="2:12" x14ac:dyDescent="0.2">
      <c r="B386" s="36" t="s">
        <v>20</v>
      </c>
      <c r="C386" s="37" t="str">
        <f>IF(B386="","",VLOOKUP(B386,ORÇAMENTO!$B$7:C273,2,0))</f>
        <v>INSTALAÇÕES PREDIAIS</v>
      </c>
      <c r="D386" s="37" t="s">
        <v>128</v>
      </c>
      <c r="E386" s="37" t="e">
        <f>IF(D386="","",VLOOKUP(D386,ORÇAMENTO!$B$7:$E$70,2,0))</f>
        <v>#N/A</v>
      </c>
      <c r="F386" s="37" t="s">
        <v>28</v>
      </c>
      <c r="G386" s="37" t="s">
        <v>58</v>
      </c>
      <c r="H386" s="58">
        <v>1</v>
      </c>
      <c r="I386" s="40">
        <v>1</v>
      </c>
      <c r="J386" s="40">
        <v>1</v>
      </c>
      <c r="K386" s="41">
        <v>3.11</v>
      </c>
      <c r="L386" s="42">
        <f t="shared" si="17"/>
        <v>3.11</v>
      </c>
    </row>
    <row r="387" spans="2:12" x14ac:dyDescent="0.2">
      <c r="B387" s="36" t="s">
        <v>20</v>
      </c>
      <c r="C387" s="37" t="str">
        <f>IF(B387="","",VLOOKUP(B387,ORÇAMENTO!$B$7:C274,2,0))</f>
        <v>INSTALAÇÕES PREDIAIS</v>
      </c>
      <c r="D387" s="37" t="s">
        <v>128</v>
      </c>
      <c r="E387" s="37" t="e">
        <f>IF(D387="","",VLOOKUP(D387,ORÇAMENTO!$B$7:$E$70,2,0))</f>
        <v>#N/A</v>
      </c>
      <c r="F387" s="37" t="s">
        <v>28</v>
      </c>
      <c r="G387" s="37" t="s">
        <v>57</v>
      </c>
      <c r="H387" s="58">
        <v>1</v>
      </c>
      <c r="I387" s="40">
        <v>1</v>
      </c>
      <c r="J387" s="40">
        <v>1</v>
      </c>
      <c r="K387" s="41">
        <v>4.8499999999999996</v>
      </c>
      <c r="L387" s="42">
        <f t="shared" si="17"/>
        <v>4.8499999999999996</v>
      </c>
    </row>
    <row r="388" spans="2:12" x14ac:dyDescent="0.2">
      <c r="B388" s="36" t="s">
        <v>20</v>
      </c>
      <c r="C388" s="37" t="str">
        <f>IF(B388="","",VLOOKUP(B388,ORÇAMENTO!$B$7:C280,2,0))</f>
        <v>INSTALAÇÕES PREDIAIS</v>
      </c>
      <c r="D388" s="37" t="s">
        <v>128</v>
      </c>
      <c r="E388" s="37" t="e">
        <f>IF(D388="","",VLOOKUP(D388,ORÇAMENTO!$B$7:$E$70,2,0))</f>
        <v>#N/A</v>
      </c>
      <c r="F388" s="37" t="s">
        <v>29</v>
      </c>
      <c r="G388" s="62" t="s">
        <v>56</v>
      </c>
      <c r="H388" s="58">
        <v>5</v>
      </c>
      <c r="I388" s="40">
        <v>1</v>
      </c>
      <c r="J388" s="40">
        <v>1</v>
      </c>
      <c r="K388" s="41">
        <v>2.39</v>
      </c>
      <c r="L388" s="42">
        <f t="shared" si="17"/>
        <v>11.950000000000001</v>
      </c>
    </row>
    <row r="389" spans="2:12" x14ac:dyDescent="0.2">
      <c r="B389" s="36" t="s">
        <v>20</v>
      </c>
      <c r="C389" s="37" t="str">
        <f>IF(B389="","",VLOOKUP(B389,ORÇAMENTO!$B$7:C281,2,0))</f>
        <v>INSTALAÇÕES PREDIAIS</v>
      </c>
      <c r="D389" s="37" t="s">
        <v>128</v>
      </c>
      <c r="E389" s="37" t="e">
        <f>IF(D389="","",VLOOKUP(D389,ORÇAMENTO!$B$7:$E$70,2,0))</f>
        <v>#N/A</v>
      </c>
      <c r="F389" s="37" t="s">
        <v>29</v>
      </c>
      <c r="G389" s="62" t="s">
        <v>266</v>
      </c>
      <c r="H389" s="58">
        <v>5</v>
      </c>
      <c r="I389" s="40">
        <v>1</v>
      </c>
      <c r="J389" s="40">
        <v>1</v>
      </c>
      <c r="K389" s="41">
        <v>27.34</v>
      </c>
      <c r="L389" s="42">
        <f t="shared" si="17"/>
        <v>136.69999999999999</v>
      </c>
    </row>
    <row r="390" spans="2:12" x14ac:dyDescent="0.2">
      <c r="B390" s="36" t="s">
        <v>20</v>
      </c>
      <c r="C390" s="37" t="str">
        <f>IF(B390="","",VLOOKUP(B390,ORÇAMENTO!$B$7:C282,2,0))</f>
        <v>INSTALAÇÕES PREDIAIS</v>
      </c>
      <c r="D390" s="37" t="s">
        <v>128</v>
      </c>
      <c r="E390" s="37" t="e">
        <f>IF(D390="","",VLOOKUP(D390,ORÇAMENTO!$B$7:$E$70,2,0))</f>
        <v>#N/A</v>
      </c>
      <c r="F390" s="37" t="s">
        <v>29</v>
      </c>
      <c r="G390" s="62" t="s">
        <v>265</v>
      </c>
      <c r="H390" s="58">
        <v>5</v>
      </c>
      <c r="I390" s="40">
        <v>1</v>
      </c>
      <c r="J390" s="40">
        <v>1</v>
      </c>
      <c r="K390" s="41">
        <v>14.54</v>
      </c>
      <c r="L390" s="42">
        <f t="shared" si="17"/>
        <v>72.699999999999989</v>
      </c>
    </row>
    <row r="391" spans="2:12" x14ac:dyDescent="0.2">
      <c r="B391" s="36" t="s">
        <v>20</v>
      </c>
      <c r="C391" s="37" t="str">
        <f>IF(B391="","",VLOOKUP(B391,ORÇAMENTO!$B$7:C283,2,0))</f>
        <v>INSTALAÇÕES PREDIAIS</v>
      </c>
      <c r="D391" s="37" t="s">
        <v>128</v>
      </c>
      <c r="E391" s="37" t="e">
        <f>IF(D391="","",VLOOKUP(D391,ORÇAMENTO!$B$7:$E$70,2,0))</f>
        <v>#N/A</v>
      </c>
      <c r="F391" s="37" t="s">
        <v>29</v>
      </c>
      <c r="G391" s="62" t="s">
        <v>264</v>
      </c>
      <c r="H391" s="58">
        <v>5</v>
      </c>
      <c r="I391" s="40">
        <v>1</v>
      </c>
      <c r="J391" s="40">
        <v>1</v>
      </c>
      <c r="K391" s="41">
        <v>29.81</v>
      </c>
      <c r="L391" s="42">
        <f t="shared" si="17"/>
        <v>149.04999999999998</v>
      </c>
    </row>
    <row r="392" spans="2:12" x14ac:dyDescent="0.2">
      <c r="B392" s="36" t="s">
        <v>20</v>
      </c>
      <c r="C392" s="37" t="str">
        <f>IF(B392="","",VLOOKUP(B392,ORÇAMENTO!$B$7:C285,2,0))</f>
        <v>INSTALAÇÕES PREDIAIS</v>
      </c>
      <c r="D392" s="37" t="s">
        <v>263</v>
      </c>
      <c r="E392" s="37" t="e">
        <f>IF(D392="","",VLOOKUP(D392,ORÇAMENTO!$B$7:$E$70,2,0))</f>
        <v>#N/A</v>
      </c>
      <c r="F392" s="37" t="s">
        <v>29</v>
      </c>
      <c r="G392" s="62" t="s">
        <v>262</v>
      </c>
      <c r="H392" s="58">
        <v>5</v>
      </c>
      <c r="I392" s="40">
        <v>1</v>
      </c>
      <c r="J392" s="40">
        <v>1</v>
      </c>
      <c r="K392" s="41">
        <v>105.56</v>
      </c>
      <c r="L392" s="42">
        <f t="shared" si="17"/>
        <v>527.79999999999995</v>
      </c>
    </row>
    <row r="393" spans="2:12" x14ac:dyDescent="0.2">
      <c r="B393" s="36" t="s">
        <v>20</v>
      </c>
      <c r="C393" s="37" t="str">
        <f>IF(B393="","",VLOOKUP(B393,ORÇAMENTO!$B$7:C291,2,0))</f>
        <v>INSTALAÇÕES PREDIAIS</v>
      </c>
      <c r="D393" s="37" t="s">
        <v>128</v>
      </c>
      <c r="E393" s="37" t="e">
        <f>IF(D393="","",VLOOKUP(D393,ORÇAMENTO!$B$7:$E$70,2,0))</f>
        <v>#N/A</v>
      </c>
      <c r="F393" s="37" t="s">
        <v>34</v>
      </c>
      <c r="G393" s="62" t="s">
        <v>56</v>
      </c>
      <c r="H393" s="58">
        <v>1</v>
      </c>
      <c r="I393" s="40">
        <v>1</v>
      </c>
      <c r="J393" s="40">
        <v>1</v>
      </c>
      <c r="K393" s="41">
        <v>2.39</v>
      </c>
      <c r="L393" s="42">
        <f t="shared" si="17"/>
        <v>2.39</v>
      </c>
    </row>
    <row r="394" spans="2:12" x14ac:dyDescent="0.2">
      <c r="B394" s="36" t="s">
        <v>20</v>
      </c>
      <c r="C394" s="37" t="str">
        <f>IF(B394="","",VLOOKUP(B394,ORÇAMENTO!$B$7:C292,2,0))</f>
        <v>INSTALAÇÕES PREDIAIS</v>
      </c>
      <c r="D394" s="37" t="s">
        <v>128</v>
      </c>
      <c r="E394" s="37" t="e">
        <f>IF(D394="","",VLOOKUP(D394,ORÇAMENTO!$B$7:$E$70,2,0))</f>
        <v>#N/A</v>
      </c>
      <c r="F394" s="37" t="s">
        <v>34</v>
      </c>
      <c r="G394" s="62" t="s">
        <v>266</v>
      </c>
      <c r="H394" s="58">
        <v>1</v>
      </c>
      <c r="I394" s="40">
        <v>1</v>
      </c>
      <c r="J394" s="40">
        <v>1</v>
      </c>
      <c r="K394" s="41">
        <v>27.34</v>
      </c>
      <c r="L394" s="42">
        <f t="shared" si="17"/>
        <v>27.34</v>
      </c>
    </row>
    <row r="395" spans="2:12" x14ac:dyDescent="0.2">
      <c r="B395" s="36" t="s">
        <v>20</v>
      </c>
      <c r="C395" s="37" t="str">
        <f>IF(B395="","",VLOOKUP(B395,ORÇAMENTO!$B$7:C293,2,0))</f>
        <v>INSTALAÇÕES PREDIAIS</v>
      </c>
      <c r="D395" s="37" t="s">
        <v>128</v>
      </c>
      <c r="E395" s="37" t="e">
        <f>IF(D395="","",VLOOKUP(D395,ORÇAMENTO!$B$7:$E$70,2,0))</f>
        <v>#N/A</v>
      </c>
      <c r="F395" s="37" t="s">
        <v>34</v>
      </c>
      <c r="G395" s="62" t="s">
        <v>265</v>
      </c>
      <c r="H395" s="58">
        <v>1</v>
      </c>
      <c r="I395" s="40">
        <v>1</v>
      </c>
      <c r="J395" s="40">
        <v>1</v>
      </c>
      <c r="K395" s="41">
        <v>14.49</v>
      </c>
      <c r="L395" s="42">
        <f t="shared" si="17"/>
        <v>14.49</v>
      </c>
    </row>
    <row r="396" spans="2:12" x14ac:dyDescent="0.2">
      <c r="B396" s="36" t="s">
        <v>20</v>
      </c>
      <c r="C396" s="37" t="str">
        <f>IF(B396="","",VLOOKUP(B396,ORÇAMENTO!$B$7:C294,2,0))</f>
        <v>INSTALAÇÕES PREDIAIS</v>
      </c>
      <c r="D396" s="37" t="s">
        <v>128</v>
      </c>
      <c r="E396" s="37" t="e">
        <f>IF(D396="","",VLOOKUP(D396,ORÇAMENTO!$B$7:$E$70,2,0))</f>
        <v>#N/A</v>
      </c>
      <c r="F396" s="37" t="s">
        <v>34</v>
      </c>
      <c r="G396" s="62" t="s">
        <v>264</v>
      </c>
      <c r="H396" s="58">
        <v>1</v>
      </c>
      <c r="I396" s="40">
        <v>1</v>
      </c>
      <c r="J396" s="40">
        <v>1</v>
      </c>
      <c r="K396" s="41">
        <v>29.81</v>
      </c>
      <c r="L396" s="42">
        <f t="shared" si="17"/>
        <v>29.81</v>
      </c>
    </row>
    <row r="397" spans="2:12" x14ac:dyDescent="0.2">
      <c r="B397" s="36" t="s">
        <v>20</v>
      </c>
      <c r="C397" s="37" t="str">
        <f>IF(B397="","",VLOOKUP(B397,ORÇAMENTO!$B$7:C296,2,0))</f>
        <v>INSTALAÇÕES PREDIAIS</v>
      </c>
      <c r="D397" s="37" t="s">
        <v>263</v>
      </c>
      <c r="E397" s="37" t="e">
        <f>IF(D397="","",VLOOKUP(D397,ORÇAMENTO!$B$7:$E$70,2,0))</f>
        <v>#N/A</v>
      </c>
      <c r="F397" s="37" t="s">
        <v>34</v>
      </c>
      <c r="G397" s="62" t="s">
        <v>262</v>
      </c>
      <c r="H397" s="58">
        <v>1</v>
      </c>
      <c r="I397" s="40">
        <v>1</v>
      </c>
      <c r="J397" s="40">
        <v>1</v>
      </c>
      <c r="K397" s="41">
        <v>105.56</v>
      </c>
      <c r="L397" s="42">
        <f t="shared" si="17"/>
        <v>105.56</v>
      </c>
    </row>
    <row r="398" spans="2:12" x14ac:dyDescent="0.2">
      <c r="B398" s="36" t="s">
        <v>20</v>
      </c>
      <c r="C398" s="37" t="str">
        <f>IF(B398="","",VLOOKUP(B398,ORÇAMENTO!$B$7:C300,2,0))</f>
        <v>INSTALAÇÕES PREDIAIS</v>
      </c>
      <c r="D398" s="37" t="s">
        <v>128</v>
      </c>
      <c r="E398" s="37" t="e">
        <f>IF(D398="","",VLOOKUP(D398,ORÇAMENTO!$B$7:$E$70,2,0))</f>
        <v>#N/A</v>
      </c>
      <c r="F398" s="37" t="s">
        <v>15</v>
      </c>
      <c r="G398" s="62" t="s">
        <v>267</v>
      </c>
      <c r="H398" s="58">
        <v>1</v>
      </c>
      <c r="I398" s="40">
        <v>1</v>
      </c>
      <c r="J398" s="40">
        <v>1</v>
      </c>
      <c r="K398" s="41">
        <v>135.88999999999999</v>
      </c>
      <c r="L398" s="42">
        <f t="shared" si="17"/>
        <v>135.88999999999999</v>
      </c>
    </row>
    <row r="399" spans="2:12" x14ac:dyDescent="0.2">
      <c r="B399" s="45" t="s">
        <v>21</v>
      </c>
      <c r="C399" s="46" t="e">
        <f>IF(B399="","",VLOOKUP(B399,ORÇAMENTO!$B$7:C297,2,0))</f>
        <v>#N/A</v>
      </c>
      <c r="D399" s="46" t="s">
        <v>129</v>
      </c>
      <c r="E399" s="46" t="e">
        <f>IF(D399="","",VLOOKUP(D399,ORÇAMENTO!$B$7:$E$70,2,0))</f>
        <v>#N/A</v>
      </c>
      <c r="F399" s="46" t="s">
        <v>31</v>
      </c>
      <c r="G399" s="59"/>
      <c r="H399" s="47">
        <v>1</v>
      </c>
      <c r="I399" s="48">
        <v>1</v>
      </c>
      <c r="J399" s="48">
        <v>1</v>
      </c>
      <c r="K399" s="49">
        <v>11</v>
      </c>
      <c r="L399" s="66">
        <f t="shared" si="17"/>
        <v>11</v>
      </c>
    </row>
    <row r="400" spans="2:12" x14ac:dyDescent="0.2">
      <c r="B400" s="45" t="s">
        <v>21</v>
      </c>
      <c r="C400" s="46" t="e">
        <f>IF(B400="","",VLOOKUP(B400,ORÇAMENTO!$B$7:C301,2,0))</f>
        <v>#N/A</v>
      </c>
      <c r="D400" s="46" t="s">
        <v>129</v>
      </c>
      <c r="E400" s="46" t="e">
        <f>IF(D400="","",VLOOKUP(D400,ORÇAMENTO!$B$7:$E$70,2,0))</f>
        <v>#N/A</v>
      </c>
      <c r="F400" s="46" t="s">
        <v>28</v>
      </c>
      <c r="G400" s="46" t="s">
        <v>44</v>
      </c>
      <c r="H400" s="47">
        <v>1</v>
      </c>
      <c r="I400" s="48">
        <v>1</v>
      </c>
      <c r="J400" s="48">
        <v>1</v>
      </c>
      <c r="K400" s="49">
        <v>133.22999999999999</v>
      </c>
      <c r="L400" s="66">
        <f t="shared" si="17"/>
        <v>133.22999999999999</v>
      </c>
    </row>
    <row r="401" spans="2:12" x14ac:dyDescent="0.2">
      <c r="B401" s="45" t="s">
        <v>21</v>
      </c>
      <c r="C401" s="46" t="e">
        <f>IF(B401="","",VLOOKUP(B401,ORÇAMENTO!$B$7:C305,2,0))</f>
        <v>#N/A</v>
      </c>
      <c r="D401" s="46" t="s">
        <v>129</v>
      </c>
      <c r="E401" s="46" t="e">
        <f>IF(D401="","",VLOOKUP(D401,ORÇAMENTO!$B$7:$E$70,2,0))</f>
        <v>#N/A</v>
      </c>
      <c r="F401" s="46" t="s">
        <v>29</v>
      </c>
      <c r="G401" s="59"/>
      <c r="H401" s="47">
        <v>5</v>
      </c>
      <c r="I401" s="48">
        <v>1</v>
      </c>
      <c r="J401" s="48">
        <v>1</v>
      </c>
      <c r="K401" s="49">
        <v>20</v>
      </c>
      <c r="L401" s="66">
        <f t="shared" si="17"/>
        <v>100</v>
      </c>
    </row>
    <row r="402" spans="2:12" x14ac:dyDescent="0.2">
      <c r="B402" s="45" t="s">
        <v>21</v>
      </c>
      <c r="C402" s="46" t="e">
        <f>IF(B402="","",VLOOKUP(B402,ORÇAMENTO!$B$7:C311,2,0))</f>
        <v>#N/A</v>
      </c>
      <c r="D402" s="46" t="s">
        <v>129</v>
      </c>
      <c r="E402" s="46" t="e">
        <f>IF(D402="","",VLOOKUP(D402,ORÇAMENTO!$B$7:$E$70,2,0))</f>
        <v>#N/A</v>
      </c>
      <c r="F402" s="46" t="s">
        <v>34</v>
      </c>
      <c r="G402" s="59"/>
      <c r="H402" s="47">
        <v>1</v>
      </c>
      <c r="I402" s="48">
        <v>1</v>
      </c>
      <c r="J402" s="48">
        <v>1</v>
      </c>
      <c r="K402" s="49">
        <v>20</v>
      </c>
      <c r="L402" s="66">
        <f t="shared" si="17"/>
        <v>20</v>
      </c>
    </row>
    <row r="403" spans="2:12" x14ac:dyDescent="0.2">
      <c r="B403" s="45" t="s">
        <v>21</v>
      </c>
      <c r="C403" s="46" t="e">
        <f>IF(B403="","",VLOOKUP(B403,ORÇAMENTO!$B$7:C317,2,0))</f>
        <v>#N/A</v>
      </c>
      <c r="D403" s="46" t="s">
        <v>129</v>
      </c>
      <c r="E403" s="46" t="e">
        <f>IF(D403="","",VLOOKUP(D403,ORÇAMENTO!$B$7:$E$70,2,0))</f>
        <v>#N/A</v>
      </c>
      <c r="F403" s="46" t="s">
        <v>15</v>
      </c>
      <c r="G403" s="59"/>
      <c r="H403" s="47">
        <v>1</v>
      </c>
      <c r="I403" s="48">
        <v>1</v>
      </c>
      <c r="J403" s="48">
        <v>1</v>
      </c>
      <c r="K403" s="49">
        <v>11.47</v>
      </c>
      <c r="L403" s="66">
        <f t="shared" si="17"/>
        <v>11.47</v>
      </c>
    </row>
    <row r="404" spans="2:12" x14ac:dyDescent="0.2">
      <c r="B404" s="45" t="s">
        <v>21</v>
      </c>
      <c r="C404" s="46" t="e">
        <f>IF(B404="","",VLOOKUP(B404,ORÇAMENTO!$B$7:C321,2,0))</f>
        <v>#N/A</v>
      </c>
      <c r="D404" s="46" t="s">
        <v>129</v>
      </c>
      <c r="E404" s="46" t="e">
        <f>IF(D404="","",VLOOKUP(D404,ORÇAMENTO!$B$7:$E$70,2,0))</f>
        <v>#N/A</v>
      </c>
      <c r="F404" s="46" t="s">
        <v>30</v>
      </c>
      <c r="G404" s="59"/>
      <c r="H404" s="47">
        <v>1</v>
      </c>
      <c r="I404" s="48">
        <v>1</v>
      </c>
      <c r="J404" s="48">
        <v>1</v>
      </c>
      <c r="K404" s="49">
        <v>73.67</v>
      </c>
      <c r="L404" s="66">
        <f t="shared" si="17"/>
        <v>73.67</v>
      </c>
    </row>
    <row r="405" spans="2:12" x14ac:dyDescent="0.2">
      <c r="B405" s="45" t="s">
        <v>21</v>
      </c>
      <c r="C405" s="46" t="e">
        <f>IF(B405="","",VLOOKUP(B405,ORÇAMENTO!$B$7:C298,2,0))</f>
        <v>#N/A</v>
      </c>
      <c r="D405" s="46" t="s">
        <v>130</v>
      </c>
      <c r="E405" s="46" t="e">
        <f>IF(D405="","",VLOOKUP(D405,ORÇAMENTO!$B$7:$E$70,2,0))</f>
        <v>#N/A</v>
      </c>
      <c r="F405" s="46" t="s">
        <v>31</v>
      </c>
      <c r="G405" s="46" t="s">
        <v>55</v>
      </c>
      <c r="H405" s="47">
        <v>1</v>
      </c>
      <c r="I405" s="48">
        <v>1</v>
      </c>
      <c r="J405" s="48">
        <v>1</v>
      </c>
      <c r="K405" s="49">
        <v>15.2</v>
      </c>
      <c r="L405" s="66">
        <f t="shared" si="17"/>
        <v>15.2</v>
      </c>
    </row>
    <row r="406" spans="2:12" x14ac:dyDescent="0.2">
      <c r="B406" s="45" t="s">
        <v>21</v>
      </c>
      <c r="C406" s="46" t="e">
        <f>IF(B406="","",VLOOKUP(B406,ORÇAMENTO!$B$7:C307,2,0))</f>
        <v>#N/A</v>
      </c>
      <c r="D406" s="46" t="s">
        <v>130</v>
      </c>
      <c r="E406" s="46" t="e">
        <f>IF(D406="","",VLOOKUP(D406,ORÇAMENTO!$B$7:$E$70,2,0))</f>
        <v>#N/A</v>
      </c>
      <c r="F406" s="46" t="s">
        <v>29</v>
      </c>
      <c r="G406" s="46" t="s">
        <v>55</v>
      </c>
      <c r="H406" s="47">
        <v>5</v>
      </c>
      <c r="I406" s="48">
        <v>1</v>
      </c>
      <c r="J406" s="48">
        <v>1</v>
      </c>
      <c r="K406" s="49">
        <v>9.7899999999999991</v>
      </c>
      <c r="L406" s="66">
        <f t="shared" si="17"/>
        <v>48.949999999999996</v>
      </c>
    </row>
    <row r="407" spans="2:12" x14ac:dyDescent="0.2">
      <c r="B407" s="45" t="s">
        <v>21</v>
      </c>
      <c r="C407" s="46" t="e">
        <f>IF(B407="","",VLOOKUP(B407,ORÇAMENTO!$B$7:C313,2,0))</f>
        <v>#N/A</v>
      </c>
      <c r="D407" s="46" t="s">
        <v>130</v>
      </c>
      <c r="E407" s="46" t="e">
        <f>IF(D407="","",VLOOKUP(D407,ORÇAMENTO!$B$7:$E$70,2,0))</f>
        <v>#N/A</v>
      </c>
      <c r="F407" s="46" t="s">
        <v>34</v>
      </c>
      <c r="G407" s="46" t="s">
        <v>55</v>
      </c>
      <c r="H407" s="47">
        <v>1</v>
      </c>
      <c r="I407" s="48">
        <v>1</v>
      </c>
      <c r="J407" s="48">
        <v>1</v>
      </c>
      <c r="K407" s="49">
        <v>9.7899999999999991</v>
      </c>
      <c r="L407" s="66">
        <f t="shared" si="17"/>
        <v>9.7899999999999991</v>
      </c>
    </row>
    <row r="408" spans="2:12" x14ac:dyDescent="0.2">
      <c r="B408" s="45" t="s">
        <v>21</v>
      </c>
      <c r="C408" s="46" t="e">
        <f>IF(B408="","",VLOOKUP(B408,ORÇAMENTO!$B$7:C294,2,0))</f>
        <v>#N/A</v>
      </c>
      <c r="D408" s="46" t="s">
        <v>131</v>
      </c>
      <c r="E408" s="46" t="e">
        <f>IF(D408="","",VLOOKUP(D408,ORÇAMENTO!$B$7:$E$70,2,0))</f>
        <v>#N/A</v>
      </c>
      <c r="F408" s="46" t="s">
        <v>232</v>
      </c>
      <c r="G408" s="46"/>
      <c r="H408" s="47">
        <v>1</v>
      </c>
      <c r="I408" s="48">
        <v>1</v>
      </c>
      <c r="J408" s="48">
        <v>0.1</v>
      </c>
      <c r="K408" s="49">
        <v>0.85</v>
      </c>
      <c r="L408" s="53">
        <f t="shared" si="17"/>
        <v>8.5000000000000006E-2</v>
      </c>
    </row>
    <row r="409" spans="2:12" x14ac:dyDescent="0.2">
      <c r="B409" s="45" t="s">
        <v>21</v>
      </c>
      <c r="C409" s="46" t="e">
        <f>IF(B409="","",VLOOKUP(B409,ORÇAMENTO!$B$7:C299,2,0))</f>
        <v>#N/A</v>
      </c>
      <c r="D409" s="46" t="s">
        <v>131</v>
      </c>
      <c r="E409" s="46" t="e">
        <f>IF(D409="","",VLOOKUP(D409,ORÇAMENTO!$B$7:$E$70,2,0))</f>
        <v>#N/A</v>
      </c>
      <c r="F409" s="46" t="s">
        <v>31</v>
      </c>
      <c r="G409" s="46" t="s">
        <v>56</v>
      </c>
      <c r="H409" s="47">
        <v>1</v>
      </c>
      <c r="I409" s="48">
        <v>1</v>
      </c>
      <c r="J409" s="48">
        <v>1</v>
      </c>
      <c r="K409" s="49">
        <v>26</v>
      </c>
      <c r="L409" s="66">
        <f t="shared" si="17"/>
        <v>26</v>
      </c>
    </row>
    <row r="410" spans="2:12" x14ac:dyDescent="0.2">
      <c r="B410" s="45" t="s">
        <v>21</v>
      </c>
      <c r="C410" s="46" t="e">
        <f>IF(B410="","",VLOOKUP(B410,ORÇAMENTO!$B$7:C302,2,0))</f>
        <v>#N/A</v>
      </c>
      <c r="D410" s="46" t="s">
        <v>131</v>
      </c>
      <c r="E410" s="46" t="e">
        <f>IF(D410="","",VLOOKUP(D410,ORÇAMENTO!$B$7:$E$70,2,0))</f>
        <v>#N/A</v>
      </c>
      <c r="F410" s="46" t="s">
        <v>28</v>
      </c>
      <c r="G410" s="46" t="s">
        <v>66</v>
      </c>
      <c r="H410" s="47">
        <v>1</v>
      </c>
      <c r="I410" s="48">
        <v>1</v>
      </c>
      <c r="J410" s="48">
        <v>1</v>
      </c>
      <c r="K410" s="49">
        <v>72.8</v>
      </c>
      <c r="L410" s="66">
        <f t="shared" ref="L410:L428" si="18">H410*I410*J410*K410</f>
        <v>72.8</v>
      </c>
    </row>
    <row r="411" spans="2:12" x14ac:dyDescent="0.2">
      <c r="B411" s="45" t="s">
        <v>21</v>
      </c>
      <c r="C411" s="46" t="e">
        <f>IF(B411="","",VLOOKUP(B411,ORÇAMENTO!$B$7:C307,2,0))</f>
        <v>#N/A</v>
      </c>
      <c r="D411" s="46" t="s">
        <v>268</v>
      </c>
      <c r="E411" s="46" t="s">
        <v>269</v>
      </c>
      <c r="F411" s="46" t="s">
        <v>29</v>
      </c>
      <c r="G411" s="46"/>
      <c r="H411" s="47">
        <v>5</v>
      </c>
      <c r="I411" s="48">
        <v>1</v>
      </c>
      <c r="J411" s="48">
        <v>1</v>
      </c>
      <c r="K411" s="49">
        <v>152.5</v>
      </c>
      <c r="L411" s="66">
        <f t="shared" si="18"/>
        <v>762.5</v>
      </c>
    </row>
    <row r="412" spans="2:12" x14ac:dyDescent="0.2">
      <c r="B412" s="45" t="s">
        <v>21</v>
      </c>
      <c r="C412" s="46" t="e">
        <f>IF(B412="","",VLOOKUP(B412,ORÇAMENTO!$B$7:C308,2,0))</f>
        <v>#N/A</v>
      </c>
      <c r="D412" s="46" t="s">
        <v>131</v>
      </c>
      <c r="E412" s="46" t="e">
        <f>IF(D412="","",VLOOKUP(D412,ORÇAMENTO!$B$7:$E$70,2,0))</f>
        <v>#N/A</v>
      </c>
      <c r="F412" s="46" t="s">
        <v>29</v>
      </c>
      <c r="G412" s="46"/>
      <c r="H412" s="47">
        <v>5</v>
      </c>
      <c r="I412" s="48">
        <v>1</v>
      </c>
      <c r="J412" s="48">
        <v>1</v>
      </c>
      <c r="K412" s="49">
        <v>65.7</v>
      </c>
      <c r="L412" s="66">
        <f t="shared" si="18"/>
        <v>328.5</v>
      </c>
    </row>
    <row r="413" spans="2:12" x14ac:dyDescent="0.2">
      <c r="B413" s="45" t="s">
        <v>21</v>
      </c>
      <c r="C413" s="46" t="e">
        <f>IF(B413="","",VLOOKUP(B413,ORÇAMENTO!$B$7:C312,2,0))</f>
        <v>#N/A</v>
      </c>
      <c r="D413" s="46" t="s">
        <v>268</v>
      </c>
      <c r="E413" s="46" t="e">
        <f>IF(D413="","",VLOOKUP(D413,ORÇAMENTO!$B$7:$E$70,2,0))</f>
        <v>#N/A</v>
      </c>
      <c r="F413" s="46" t="s">
        <v>34</v>
      </c>
      <c r="G413" s="46"/>
      <c r="H413" s="47">
        <v>1</v>
      </c>
      <c r="I413" s="48">
        <v>1</v>
      </c>
      <c r="J413" s="48">
        <v>1</v>
      </c>
      <c r="K413" s="49">
        <v>152.5</v>
      </c>
      <c r="L413" s="66">
        <f t="shared" si="18"/>
        <v>152.5</v>
      </c>
    </row>
    <row r="414" spans="2:12" x14ac:dyDescent="0.2">
      <c r="B414" s="45" t="s">
        <v>21</v>
      </c>
      <c r="C414" s="46" t="e">
        <f>IF(B414="","",VLOOKUP(B414,ORÇAMENTO!$B$7:C314,2,0))</f>
        <v>#N/A</v>
      </c>
      <c r="D414" s="46" t="s">
        <v>131</v>
      </c>
      <c r="E414" s="46" t="e">
        <f>IF(D414="","",VLOOKUP(D414,ORÇAMENTO!$B$7:$E$70,2,0))</f>
        <v>#N/A</v>
      </c>
      <c r="F414" s="46" t="s">
        <v>34</v>
      </c>
      <c r="G414" s="46"/>
      <c r="H414" s="47">
        <v>1</v>
      </c>
      <c r="I414" s="48">
        <v>1</v>
      </c>
      <c r="J414" s="48">
        <v>1</v>
      </c>
      <c r="K414" s="49">
        <v>65.7</v>
      </c>
      <c r="L414" s="66">
        <f t="shared" si="18"/>
        <v>65.7</v>
      </c>
    </row>
    <row r="415" spans="2:12" x14ac:dyDescent="0.2">
      <c r="B415" s="45" t="s">
        <v>21</v>
      </c>
      <c r="C415" s="46" t="e">
        <f>IF(B415="","",VLOOKUP(B415,ORÇAMENTO!$B$7:C318,2,0))</f>
        <v>#N/A</v>
      </c>
      <c r="D415" s="46" t="s">
        <v>131</v>
      </c>
      <c r="E415" s="46" t="e">
        <f>IF(D415="","",VLOOKUP(D415,ORÇAMENTO!$B$7:$E$70,2,0))</f>
        <v>#N/A</v>
      </c>
      <c r="F415" s="46" t="s">
        <v>15</v>
      </c>
      <c r="G415" s="46"/>
      <c r="H415" s="47">
        <v>1</v>
      </c>
      <c r="I415" s="48">
        <v>1</v>
      </c>
      <c r="J415" s="48">
        <v>1</v>
      </c>
      <c r="K415" s="49">
        <v>90.68</v>
      </c>
      <c r="L415" s="66">
        <f t="shared" si="18"/>
        <v>90.68</v>
      </c>
    </row>
    <row r="416" spans="2:12" x14ac:dyDescent="0.2">
      <c r="B416" s="45" t="s">
        <v>21</v>
      </c>
      <c r="C416" s="46" t="e">
        <f>IF(B416="","",VLOOKUP(B416,ORÇAMENTO!$B$7:C296,2,0))</f>
        <v>#N/A</v>
      </c>
      <c r="D416" s="46" t="s">
        <v>132</v>
      </c>
      <c r="E416" s="46" t="e">
        <f>IF(D416="","",VLOOKUP(D416,ORÇAMENTO!$B$7:$E$70,2,0))</f>
        <v>#N/A</v>
      </c>
      <c r="F416" s="46" t="s">
        <v>232</v>
      </c>
      <c r="G416" s="46"/>
      <c r="H416" s="47">
        <v>1</v>
      </c>
      <c r="I416" s="48">
        <v>1</v>
      </c>
      <c r="J416" s="48">
        <v>1</v>
      </c>
      <c r="K416" s="49">
        <v>1.95</v>
      </c>
      <c r="L416" s="66">
        <f t="shared" si="18"/>
        <v>1.95</v>
      </c>
    </row>
    <row r="417" spans="2:12" x14ac:dyDescent="0.2">
      <c r="B417" s="45" t="s">
        <v>21</v>
      </c>
      <c r="C417" s="46" t="e">
        <f>IF(B417="","",VLOOKUP(B417,ORÇAMENTO!$B$7:C300,2,0))</f>
        <v>#N/A</v>
      </c>
      <c r="D417" s="46" t="s">
        <v>132</v>
      </c>
      <c r="E417" s="46" t="e">
        <f>IF(D417="","",VLOOKUP(D417,ORÇAMENTO!$B$7:$E$70,2,0))</f>
        <v>#N/A</v>
      </c>
      <c r="F417" s="46" t="s">
        <v>31</v>
      </c>
      <c r="G417" s="46"/>
      <c r="H417" s="47">
        <v>1</v>
      </c>
      <c r="I417" s="48">
        <v>1</v>
      </c>
      <c r="J417" s="48">
        <v>1</v>
      </c>
      <c r="K417" s="49">
        <v>19.75</v>
      </c>
      <c r="L417" s="66">
        <f t="shared" si="18"/>
        <v>19.75</v>
      </c>
    </row>
    <row r="418" spans="2:12" x14ac:dyDescent="0.2">
      <c r="B418" s="45" t="s">
        <v>21</v>
      </c>
      <c r="C418" s="46" t="e">
        <f>IF(B418="","",VLOOKUP(B418,ORÇAMENTO!$B$7:C303,2,0))</f>
        <v>#N/A</v>
      </c>
      <c r="D418" s="46" t="s">
        <v>132</v>
      </c>
      <c r="E418" s="46" t="e">
        <f>IF(D418="","",VLOOKUP(D418,ORÇAMENTO!$B$7:$E$70,2,0))</f>
        <v>#N/A</v>
      </c>
      <c r="F418" s="46" t="s">
        <v>28</v>
      </c>
      <c r="G418" s="46"/>
      <c r="H418" s="47">
        <v>1</v>
      </c>
      <c r="I418" s="48">
        <v>1</v>
      </c>
      <c r="J418" s="48">
        <v>1</v>
      </c>
      <c r="K418" s="49">
        <v>6.25</v>
      </c>
      <c r="L418" s="66">
        <f t="shared" si="18"/>
        <v>6.25</v>
      </c>
    </row>
    <row r="419" spans="2:12" x14ac:dyDescent="0.2">
      <c r="B419" s="45" t="s">
        <v>21</v>
      </c>
      <c r="C419" s="46" t="e">
        <f>IF(B419="","",VLOOKUP(B419,ORÇAMENTO!$B$7:C309,2,0))</f>
        <v>#N/A</v>
      </c>
      <c r="D419" s="46" t="s">
        <v>132</v>
      </c>
      <c r="E419" s="46" t="e">
        <f>IF(D419="","",VLOOKUP(D419,ORÇAMENTO!$B$7:$E$70,2,0))</f>
        <v>#N/A</v>
      </c>
      <c r="F419" s="46" t="s">
        <v>29</v>
      </c>
      <c r="G419" s="46"/>
      <c r="H419" s="47">
        <v>5</v>
      </c>
      <c r="I419" s="48">
        <v>1</v>
      </c>
      <c r="J419" s="48">
        <v>1</v>
      </c>
      <c r="K419" s="49">
        <v>21.15</v>
      </c>
      <c r="L419" s="66">
        <f t="shared" si="18"/>
        <v>105.75</v>
      </c>
    </row>
    <row r="420" spans="2:12" x14ac:dyDescent="0.2">
      <c r="B420" s="45" t="s">
        <v>21</v>
      </c>
      <c r="C420" s="46" t="e">
        <f>IF(B420="","",VLOOKUP(B420,ORÇAMENTO!$B$7:C315,2,0))</f>
        <v>#N/A</v>
      </c>
      <c r="D420" s="46" t="s">
        <v>132</v>
      </c>
      <c r="E420" s="46" t="e">
        <f>IF(D420="","",VLOOKUP(D420,ORÇAMENTO!$B$7:$E$70,2,0))</f>
        <v>#N/A</v>
      </c>
      <c r="F420" s="46" t="s">
        <v>34</v>
      </c>
      <c r="G420" s="46"/>
      <c r="H420" s="47">
        <v>1</v>
      </c>
      <c r="I420" s="48">
        <v>1</v>
      </c>
      <c r="J420" s="48">
        <v>1</v>
      </c>
      <c r="K420" s="49">
        <v>21.15</v>
      </c>
      <c r="L420" s="66">
        <f t="shared" si="18"/>
        <v>21.15</v>
      </c>
    </row>
    <row r="421" spans="2:12" x14ac:dyDescent="0.2">
      <c r="B421" s="45" t="s">
        <v>21</v>
      </c>
      <c r="C421" s="46" t="e">
        <f>IF(B421="","",VLOOKUP(B421,ORÇAMENTO!$B$7:C319,2,0))</f>
        <v>#N/A</v>
      </c>
      <c r="D421" s="46" t="s">
        <v>132</v>
      </c>
      <c r="E421" s="46" t="e">
        <f>IF(D421="","",VLOOKUP(D421,ORÇAMENTO!$B$7:$E$70,2,0))</f>
        <v>#N/A</v>
      </c>
      <c r="F421" s="46" t="s">
        <v>15</v>
      </c>
      <c r="G421" s="46"/>
      <c r="H421" s="47">
        <v>1</v>
      </c>
      <c r="I421" s="48">
        <v>1</v>
      </c>
      <c r="J421" s="48">
        <v>1</v>
      </c>
      <c r="K421" s="49">
        <v>7</v>
      </c>
      <c r="L421" s="66">
        <f t="shared" si="18"/>
        <v>7</v>
      </c>
    </row>
    <row r="422" spans="2:12" x14ac:dyDescent="0.2">
      <c r="B422" s="45" t="s">
        <v>21</v>
      </c>
      <c r="C422" s="46" t="e">
        <f>IF(B422="","",VLOOKUP(B422,ORÇAMENTO!$B$7:C322,2,0))</f>
        <v>#N/A</v>
      </c>
      <c r="D422" s="46" t="s">
        <v>132</v>
      </c>
      <c r="E422" s="46" t="e">
        <f>IF(D422="","",VLOOKUP(D422,ORÇAMENTO!$B$7:$E$70,2,0))</f>
        <v>#N/A</v>
      </c>
      <c r="F422" s="46" t="s">
        <v>30</v>
      </c>
      <c r="G422" s="46"/>
      <c r="H422" s="47">
        <v>1</v>
      </c>
      <c r="I422" s="48">
        <v>1</v>
      </c>
      <c r="J422" s="48">
        <v>1</v>
      </c>
      <c r="K422" s="49">
        <v>3.05</v>
      </c>
      <c r="L422" s="66">
        <f t="shared" si="18"/>
        <v>3.05</v>
      </c>
    </row>
    <row r="423" spans="2:12" x14ac:dyDescent="0.2">
      <c r="B423" s="45" t="s">
        <v>21</v>
      </c>
      <c r="C423" s="46" t="e">
        <f>IF(B423="","",VLOOKUP(B423,ORÇAMENTO!$B$7:C304,2,0))</f>
        <v>#N/A</v>
      </c>
      <c r="D423" s="46" t="s">
        <v>133</v>
      </c>
      <c r="E423" s="46" t="e">
        <f>IF(D423="","",VLOOKUP(D423,ORÇAMENTO!$B$7:$E$70,2,0))</f>
        <v>#N/A</v>
      </c>
      <c r="F423" s="46" t="s">
        <v>28</v>
      </c>
      <c r="G423" s="46"/>
      <c r="H423" s="47">
        <v>1</v>
      </c>
      <c r="I423" s="48">
        <v>1</v>
      </c>
      <c r="J423" s="48">
        <v>1</v>
      </c>
      <c r="K423" s="49">
        <v>10</v>
      </c>
      <c r="L423" s="66">
        <f t="shared" si="18"/>
        <v>10</v>
      </c>
    </row>
    <row r="424" spans="2:12" x14ac:dyDescent="0.2">
      <c r="B424" s="45" t="s">
        <v>21</v>
      </c>
      <c r="C424" s="46" t="e">
        <f>IF(B424="","",VLOOKUP(B424,ORÇAMENTO!$B$7:C310,2,0))</f>
        <v>#N/A</v>
      </c>
      <c r="D424" s="46" t="s">
        <v>133</v>
      </c>
      <c r="E424" s="46" t="e">
        <f>IF(D424="","",VLOOKUP(D424,ORÇAMENTO!$B$7:$E$70,2,0))</f>
        <v>#N/A</v>
      </c>
      <c r="F424" s="46" t="s">
        <v>29</v>
      </c>
      <c r="G424" s="46"/>
      <c r="H424" s="47">
        <v>5</v>
      </c>
      <c r="I424" s="48">
        <v>1</v>
      </c>
      <c r="J424" s="48">
        <v>1</v>
      </c>
      <c r="K424" s="49">
        <v>15.75</v>
      </c>
      <c r="L424" s="66">
        <f t="shared" si="18"/>
        <v>78.75</v>
      </c>
    </row>
    <row r="425" spans="2:12" x14ac:dyDescent="0.2">
      <c r="B425" s="67" t="s">
        <v>21</v>
      </c>
      <c r="C425" s="68" t="e">
        <f>IF(B425="","",VLOOKUP(B425,ORÇAMENTO!$B$7:C316,2,0))</f>
        <v>#N/A</v>
      </c>
      <c r="D425" s="68" t="s">
        <v>133</v>
      </c>
      <c r="E425" s="68" t="e">
        <f>IF(D425="","",VLOOKUP(D425,ORÇAMENTO!$B$7:$E$70,2,0))</f>
        <v>#N/A</v>
      </c>
      <c r="F425" s="68" t="s">
        <v>34</v>
      </c>
      <c r="G425" s="68"/>
      <c r="H425" s="69">
        <v>1</v>
      </c>
      <c r="I425" s="70">
        <v>1</v>
      </c>
      <c r="J425" s="70">
        <v>1</v>
      </c>
      <c r="K425" s="71">
        <v>15.75</v>
      </c>
      <c r="L425" s="72">
        <f t="shared" si="18"/>
        <v>15.75</v>
      </c>
    </row>
    <row r="426" spans="2:12" x14ac:dyDescent="0.2">
      <c r="B426" s="45" t="s">
        <v>21</v>
      </c>
      <c r="C426" s="46" t="e">
        <f>IF(B426="","",VLOOKUP(B426,ORÇAMENTO!$B$7:C320,2,0))</f>
        <v>#N/A</v>
      </c>
      <c r="D426" s="46" t="s">
        <v>133</v>
      </c>
      <c r="E426" s="46" t="e">
        <f>IF(D426="","",VLOOKUP(D426,ORÇAMENTO!$B$7:$E$70,2,0))</f>
        <v>#N/A</v>
      </c>
      <c r="F426" s="46" t="s">
        <v>15</v>
      </c>
      <c r="G426" s="46"/>
      <c r="H426" s="47">
        <v>1</v>
      </c>
      <c r="I426" s="48">
        <v>1</v>
      </c>
      <c r="J426" s="48">
        <v>1</v>
      </c>
      <c r="K426" s="49">
        <v>1.65</v>
      </c>
      <c r="L426" s="66">
        <f t="shared" si="18"/>
        <v>1.65</v>
      </c>
    </row>
    <row r="427" spans="2:12" x14ac:dyDescent="0.2">
      <c r="B427" s="45" t="s">
        <v>21</v>
      </c>
      <c r="C427" s="46" t="e">
        <f>IF(B427="","",VLOOKUP(B427,ORÇAMENTO!$B$7:C323,2,0))</f>
        <v>#N/A</v>
      </c>
      <c r="D427" s="46" t="s">
        <v>133</v>
      </c>
      <c r="E427" s="46" t="e">
        <f>IF(D427="","",VLOOKUP(D427,ORÇAMENTO!$B$7:$E$70,2,0))</f>
        <v>#N/A</v>
      </c>
      <c r="F427" s="46" t="s">
        <v>30</v>
      </c>
      <c r="G427" s="46"/>
      <c r="H427" s="47">
        <v>1</v>
      </c>
      <c r="I427" s="48">
        <v>1</v>
      </c>
      <c r="J427" s="48">
        <v>1</v>
      </c>
      <c r="K427" s="49">
        <v>3.85</v>
      </c>
      <c r="L427" s="66">
        <f t="shared" si="18"/>
        <v>3.85</v>
      </c>
    </row>
    <row r="428" spans="2:12" x14ac:dyDescent="0.2">
      <c r="B428" s="36" t="s">
        <v>23</v>
      </c>
      <c r="C428" s="37" t="e">
        <f>IF(B428="","",VLOOKUP(B428,ORÇAMENTO!$B$7:C397,2,0))</f>
        <v>#N/A</v>
      </c>
      <c r="D428" s="37" t="s">
        <v>140</v>
      </c>
      <c r="E428" s="37" t="e">
        <f>IF(D428="","",VLOOKUP(D428,ORÇAMENTO!$B$7:$E$70,2,0))</f>
        <v>#N/A</v>
      </c>
      <c r="F428" s="62"/>
      <c r="G428" s="62"/>
      <c r="H428" s="58">
        <v>2</v>
      </c>
      <c r="I428" s="40">
        <v>1</v>
      </c>
      <c r="J428" s="40">
        <v>1</v>
      </c>
      <c r="K428" s="41">
        <v>1</v>
      </c>
      <c r="L428" s="64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97"/>
  <sheetViews>
    <sheetView topLeftCell="A19" zoomScale="90" zoomScaleNormal="90" workbookViewId="0">
      <selection activeCell="H1" sqref="H1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3" customWidth="1"/>
    <col min="5" max="5" width="7.140625" style="3" bestFit="1" customWidth="1"/>
    <col min="6" max="6" width="15.5703125" style="3" customWidth="1"/>
    <col min="7" max="7" width="22.140625" style="3" bestFit="1" customWidth="1"/>
    <col min="8" max="16384" width="9.140625" style="3"/>
  </cols>
  <sheetData>
    <row r="1" spans="1:7" ht="24" customHeight="1" x14ac:dyDescent="0.2">
      <c r="A1" s="30" t="s">
        <v>299</v>
      </c>
      <c r="B1" s="155" t="s">
        <v>290</v>
      </c>
      <c r="C1" s="155"/>
      <c r="D1" s="155"/>
      <c r="E1" s="155"/>
      <c r="F1" s="155"/>
      <c r="G1" s="155"/>
    </row>
    <row r="2" spans="1:7" ht="10.5" customHeight="1" x14ac:dyDescent="0.2">
      <c r="A2" s="30"/>
      <c r="B2" s="33"/>
      <c r="C2" s="78"/>
      <c r="D2" s="78"/>
      <c r="E2" s="78"/>
      <c r="F2" s="30"/>
      <c r="G2" s="30"/>
    </row>
    <row r="3" spans="1:7" ht="14.25" customHeight="1" thickBot="1" x14ac:dyDescent="0.25">
      <c r="A3" s="30"/>
      <c r="B3" s="35"/>
      <c r="C3" s="77"/>
      <c r="D3" s="32"/>
      <c r="E3" s="31"/>
      <c r="F3" s="30"/>
      <c r="G3" s="30"/>
    </row>
    <row r="4" spans="1:7" ht="17.25" customHeight="1" thickBot="1" x14ac:dyDescent="0.3">
      <c r="A4" s="30"/>
      <c r="B4" s="35" t="s">
        <v>303</v>
      </c>
      <c r="C4" s="32"/>
      <c r="D4" s="32"/>
      <c r="E4" s="158" t="s">
        <v>276</v>
      </c>
      <c r="F4" s="159"/>
      <c r="G4" s="102">
        <f>G7+G14+G20+G25+G35+G37+G39+G43+G47+G51+G53+G55+G57+G59+G62+G69+G71</f>
        <v>2341276.7999999998</v>
      </c>
    </row>
    <row r="5" spans="1:7" ht="24.75" customHeight="1" thickBot="1" x14ac:dyDescent="0.25">
      <c r="A5" s="30"/>
      <c r="B5" s="30"/>
      <c r="D5" s="30"/>
      <c r="E5" s="30"/>
      <c r="F5" s="30"/>
      <c r="G5" s="30"/>
    </row>
    <row r="6" spans="1:7" s="107" customFormat="1" ht="21.75" customHeight="1" thickBot="1" x14ac:dyDescent="0.3">
      <c r="B6" s="108" t="s">
        <v>0</v>
      </c>
      <c r="C6" s="109" t="s">
        <v>271</v>
      </c>
      <c r="D6" s="110" t="s">
        <v>272</v>
      </c>
      <c r="E6" s="111" t="s">
        <v>100</v>
      </c>
      <c r="F6" s="111" t="s">
        <v>228</v>
      </c>
      <c r="G6" s="112" t="s">
        <v>229</v>
      </c>
    </row>
    <row r="7" spans="1:7" ht="15.75" customHeight="1" x14ac:dyDescent="0.2">
      <c r="A7" s="5" t="s">
        <v>2</v>
      </c>
      <c r="B7" s="81" t="s">
        <v>2</v>
      </c>
      <c r="C7" s="82" t="s">
        <v>213</v>
      </c>
      <c r="D7" s="83"/>
      <c r="E7" s="79"/>
      <c r="F7" s="79"/>
      <c r="G7" s="84">
        <f>SUM(G8:G13)</f>
        <v>116000</v>
      </c>
    </row>
    <row r="8" spans="1:7" ht="13.5" customHeight="1" x14ac:dyDescent="0.2">
      <c r="A8" s="6"/>
      <c r="B8" s="85" t="s">
        <v>157</v>
      </c>
      <c r="C8" s="86" t="s">
        <v>152</v>
      </c>
      <c r="D8" s="87">
        <v>1</v>
      </c>
      <c r="E8" s="88" t="s">
        <v>145</v>
      </c>
      <c r="F8" s="89">
        <v>10000</v>
      </c>
      <c r="G8" s="89">
        <f t="shared" ref="G8:G13" si="0">D8*F8</f>
        <v>10000</v>
      </c>
    </row>
    <row r="9" spans="1:7" ht="13.5" customHeight="1" x14ac:dyDescent="0.2">
      <c r="A9" s="6"/>
      <c r="B9" s="90" t="s">
        <v>158</v>
      </c>
      <c r="C9" s="91" t="s">
        <v>153</v>
      </c>
      <c r="D9" s="92">
        <v>1</v>
      </c>
      <c r="E9" s="93" t="s">
        <v>145</v>
      </c>
      <c r="F9" s="89">
        <v>4000</v>
      </c>
      <c r="G9" s="89">
        <f t="shared" si="0"/>
        <v>4000</v>
      </c>
    </row>
    <row r="10" spans="1:7" ht="13.5" customHeight="1" x14ac:dyDescent="0.2">
      <c r="A10" s="6"/>
      <c r="B10" s="90" t="s">
        <v>159</v>
      </c>
      <c r="C10" s="91" t="s">
        <v>154</v>
      </c>
      <c r="D10" s="92">
        <v>1</v>
      </c>
      <c r="E10" s="93" t="s">
        <v>145</v>
      </c>
      <c r="F10" s="89">
        <v>30000</v>
      </c>
      <c r="G10" s="89">
        <f t="shared" si="0"/>
        <v>30000</v>
      </c>
    </row>
    <row r="11" spans="1:7" ht="13.5" customHeight="1" x14ac:dyDescent="0.2">
      <c r="A11" s="6"/>
      <c r="B11" s="90" t="s">
        <v>160</v>
      </c>
      <c r="C11" s="91" t="s">
        <v>299</v>
      </c>
      <c r="D11" s="92">
        <v>1</v>
      </c>
      <c r="E11" s="93" t="s">
        <v>145</v>
      </c>
      <c r="F11" s="89">
        <v>30000</v>
      </c>
      <c r="G11" s="89">
        <f t="shared" si="0"/>
        <v>30000</v>
      </c>
    </row>
    <row r="12" spans="1:7" ht="13.5" customHeight="1" x14ac:dyDescent="0.2">
      <c r="A12" s="6"/>
      <c r="B12" s="90" t="s">
        <v>161</v>
      </c>
      <c r="C12" s="91" t="s">
        <v>155</v>
      </c>
      <c r="D12" s="92">
        <v>1</v>
      </c>
      <c r="E12" s="93" t="s">
        <v>145</v>
      </c>
      <c r="F12" s="89">
        <v>40000</v>
      </c>
      <c r="G12" s="89">
        <f t="shared" si="0"/>
        <v>40000</v>
      </c>
    </row>
    <row r="13" spans="1:7" ht="13.5" customHeight="1" x14ac:dyDescent="0.2">
      <c r="A13" s="6"/>
      <c r="B13" s="94" t="s">
        <v>162</v>
      </c>
      <c r="C13" s="95" t="s">
        <v>156</v>
      </c>
      <c r="D13" s="96">
        <v>50</v>
      </c>
      <c r="E13" s="97" t="s">
        <v>273</v>
      </c>
      <c r="F13" s="89">
        <v>40</v>
      </c>
      <c r="G13" s="89">
        <f t="shared" si="0"/>
        <v>2000</v>
      </c>
    </row>
    <row r="14" spans="1:7" ht="15.75" customHeight="1" x14ac:dyDescent="0.2">
      <c r="A14" s="5" t="s">
        <v>2</v>
      </c>
      <c r="B14" s="98" t="s">
        <v>3</v>
      </c>
      <c r="C14" s="99" t="s">
        <v>214</v>
      </c>
      <c r="D14" s="100"/>
      <c r="E14" s="80"/>
      <c r="F14" s="80"/>
      <c r="G14" s="101">
        <f>SUM(G15:G19)</f>
        <v>9602.2999999999993</v>
      </c>
    </row>
    <row r="15" spans="1:7" ht="13.5" customHeight="1" x14ac:dyDescent="0.2">
      <c r="A15" s="6"/>
      <c r="B15" s="90" t="s">
        <v>182</v>
      </c>
      <c r="C15" s="91" t="s">
        <v>163</v>
      </c>
      <c r="D15" s="92">
        <v>125</v>
      </c>
      <c r="E15" s="93" t="s">
        <v>144</v>
      </c>
      <c r="F15" s="89">
        <v>15.59</v>
      </c>
      <c r="G15" s="89">
        <f>D15*F15</f>
        <v>1948.75</v>
      </c>
    </row>
    <row r="16" spans="1:7" ht="13.5" customHeight="1" x14ac:dyDescent="0.2">
      <c r="A16" s="6"/>
      <c r="B16" s="90" t="s">
        <v>183</v>
      </c>
      <c r="C16" s="91" t="s">
        <v>164</v>
      </c>
      <c r="D16" s="92">
        <v>45</v>
      </c>
      <c r="E16" s="93" t="s">
        <v>144</v>
      </c>
      <c r="F16" s="89">
        <v>79.989999999999995</v>
      </c>
      <c r="G16" s="89">
        <f>D16*F16</f>
        <v>3599.5499999999997</v>
      </c>
    </row>
    <row r="17" spans="1:7" ht="13.5" customHeight="1" x14ac:dyDescent="0.2">
      <c r="A17" s="6"/>
      <c r="B17" s="90" t="s">
        <v>184</v>
      </c>
      <c r="C17" s="91" t="s">
        <v>165</v>
      </c>
      <c r="D17" s="92">
        <v>4.5</v>
      </c>
      <c r="E17" s="93" t="s">
        <v>144</v>
      </c>
      <c r="F17" s="89">
        <v>318</v>
      </c>
      <c r="G17" s="89">
        <f>D17*F17</f>
        <v>1431</v>
      </c>
    </row>
    <row r="18" spans="1:7" ht="13.5" customHeight="1" x14ac:dyDescent="0.2">
      <c r="A18" s="6"/>
      <c r="B18" s="90" t="s">
        <v>185</v>
      </c>
      <c r="C18" s="91" t="s">
        <v>166</v>
      </c>
      <c r="D18" s="92">
        <v>1</v>
      </c>
      <c r="E18" s="93" t="s">
        <v>145</v>
      </c>
      <c r="F18" s="89">
        <v>1900</v>
      </c>
      <c r="G18" s="89">
        <f>D18*F18</f>
        <v>1900</v>
      </c>
    </row>
    <row r="19" spans="1:7" ht="13.5" customHeight="1" x14ac:dyDescent="0.2">
      <c r="A19" s="6"/>
      <c r="B19" s="90" t="s">
        <v>186</v>
      </c>
      <c r="C19" s="91" t="s">
        <v>167</v>
      </c>
      <c r="D19" s="92">
        <v>300</v>
      </c>
      <c r="E19" s="93" t="s">
        <v>144</v>
      </c>
      <c r="F19" s="89">
        <v>2.41</v>
      </c>
      <c r="G19" s="89">
        <f>D19*F19</f>
        <v>723</v>
      </c>
    </row>
    <row r="20" spans="1:7" ht="15.75" customHeight="1" x14ac:dyDescent="0.2">
      <c r="A20" s="5" t="s">
        <v>2</v>
      </c>
      <c r="B20" s="98" t="s">
        <v>4</v>
      </c>
      <c r="C20" s="99" t="s">
        <v>215</v>
      </c>
      <c r="D20" s="100"/>
      <c r="E20" s="80"/>
      <c r="F20" s="80"/>
      <c r="G20" s="101">
        <f>SUM(G21:G24)</f>
        <v>12936</v>
      </c>
    </row>
    <row r="21" spans="1:7" ht="13.5" customHeight="1" x14ac:dyDescent="0.2">
      <c r="A21" s="6"/>
      <c r="B21" s="90" t="s">
        <v>187</v>
      </c>
      <c r="C21" s="91" t="s">
        <v>168</v>
      </c>
      <c r="D21" s="92">
        <v>44</v>
      </c>
      <c r="E21" s="93" t="s">
        <v>148</v>
      </c>
      <c r="F21" s="89">
        <v>40</v>
      </c>
      <c r="G21" s="89">
        <f>D21*F21</f>
        <v>1760</v>
      </c>
    </row>
    <row r="22" spans="1:7" ht="13.5" customHeight="1" x14ac:dyDescent="0.2">
      <c r="A22" s="6" t="s">
        <v>299</v>
      </c>
      <c r="B22" s="90" t="s">
        <v>188</v>
      </c>
      <c r="C22" s="91" t="s">
        <v>170</v>
      </c>
      <c r="D22" s="92">
        <v>4.4000000000000004</v>
      </c>
      <c r="E22" s="93" t="s">
        <v>148</v>
      </c>
      <c r="F22" s="89">
        <v>40</v>
      </c>
      <c r="G22" s="89">
        <f>D22*F22</f>
        <v>176</v>
      </c>
    </row>
    <row r="23" spans="1:7" ht="13.5" customHeight="1" x14ac:dyDescent="0.2">
      <c r="A23" s="6"/>
      <c r="B23" s="90" t="s">
        <v>189</v>
      </c>
      <c r="C23" s="91" t="s">
        <v>171</v>
      </c>
      <c r="D23" s="92">
        <v>1</v>
      </c>
      <c r="E23" s="93" t="s">
        <v>145</v>
      </c>
      <c r="F23" s="89">
        <v>1000</v>
      </c>
      <c r="G23" s="89">
        <f>D23*F23</f>
        <v>1000</v>
      </c>
    </row>
    <row r="24" spans="1:7" ht="13.5" customHeight="1" x14ac:dyDescent="0.2">
      <c r="A24" s="6"/>
      <c r="B24" s="90" t="s">
        <v>190</v>
      </c>
      <c r="C24" s="91" t="s">
        <v>169</v>
      </c>
      <c r="D24" s="92">
        <v>1</v>
      </c>
      <c r="E24" s="93" t="s">
        <v>146</v>
      </c>
      <c r="F24" s="89">
        <v>10000</v>
      </c>
      <c r="G24" s="89">
        <f>D24*F24</f>
        <v>10000</v>
      </c>
    </row>
    <row r="25" spans="1:7" ht="15.75" customHeight="1" x14ac:dyDescent="0.2">
      <c r="A25" s="5" t="s">
        <v>2</v>
      </c>
      <c r="B25" s="98" t="s">
        <v>5</v>
      </c>
      <c r="C25" s="99" t="s">
        <v>216</v>
      </c>
      <c r="D25" s="100"/>
      <c r="E25" s="80"/>
      <c r="F25" s="80"/>
      <c r="G25" s="101">
        <f>SUM(G26:G34)</f>
        <v>189980</v>
      </c>
    </row>
    <row r="26" spans="1:7" ht="13.5" customHeight="1" x14ac:dyDescent="0.2">
      <c r="A26" s="6"/>
      <c r="B26" s="90" t="s">
        <v>198</v>
      </c>
      <c r="C26" s="91" t="s">
        <v>172</v>
      </c>
      <c r="D26" s="92">
        <v>12</v>
      </c>
      <c r="E26" s="93" t="s">
        <v>149</v>
      </c>
      <c r="F26" s="89">
        <v>7000</v>
      </c>
      <c r="G26" s="89">
        <f>D26*F26</f>
        <v>84000</v>
      </c>
    </row>
    <row r="27" spans="1:7" ht="13.5" customHeight="1" x14ac:dyDescent="0.2">
      <c r="A27" s="6"/>
      <c r="B27" s="90" t="s">
        <v>199</v>
      </c>
      <c r="C27" s="91" t="s">
        <v>173</v>
      </c>
      <c r="D27" s="92">
        <v>12</v>
      </c>
      <c r="E27" s="93" t="s">
        <v>149</v>
      </c>
      <c r="F27" s="89">
        <v>5000</v>
      </c>
      <c r="G27" s="89">
        <f t="shared" ref="G27:G46" si="1">D27*F27</f>
        <v>60000</v>
      </c>
    </row>
    <row r="28" spans="1:7" ht="13.5" customHeight="1" x14ac:dyDescent="0.2">
      <c r="A28" s="6"/>
      <c r="B28" s="90" t="s">
        <v>200</v>
      </c>
      <c r="C28" s="91" t="s">
        <v>174</v>
      </c>
      <c r="D28" s="92">
        <v>12</v>
      </c>
      <c r="E28" s="93" t="s">
        <v>149</v>
      </c>
      <c r="F28" s="89">
        <v>800</v>
      </c>
      <c r="G28" s="89">
        <f t="shared" si="1"/>
        <v>9600</v>
      </c>
    </row>
    <row r="29" spans="1:7" ht="13.5" customHeight="1" x14ac:dyDescent="0.2">
      <c r="A29" s="6"/>
      <c r="B29" s="90" t="s">
        <v>201</v>
      </c>
      <c r="C29" s="91" t="s">
        <v>274</v>
      </c>
      <c r="D29" s="92">
        <v>12</v>
      </c>
      <c r="E29" s="93" t="s">
        <v>149</v>
      </c>
      <c r="F29" s="89">
        <v>2200</v>
      </c>
      <c r="G29" s="89">
        <f t="shared" si="1"/>
        <v>26400</v>
      </c>
    </row>
    <row r="30" spans="1:7" ht="13.5" customHeight="1" x14ac:dyDescent="0.2">
      <c r="A30" s="6"/>
      <c r="B30" s="90" t="s">
        <v>202</v>
      </c>
      <c r="C30" s="91" t="s">
        <v>175</v>
      </c>
      <c r="D30" s="92">
        <v>12</v>
      </c>
      <c r="E30" s="93" t="s">
        <v>149</v>
      </c>
      <c r="F30" s="89">
        <v>400</v>
      </c>
      <c r="G30" s="89">
        <f t="shared" si="1"/>
        <v>4800</v>
      </c>
    </row>
    <row r="31" spans="1:7" ht="13.5" customHeight="1" x14ac:dyDescent="0.2">
      <c r="A31" s="6"/>
      <c r="B31" s="90" t="s">
        <v>203</v>
      </c>
      <c r="C31" s="91" t="s">
        <v>176</v>
      </c>
      <c r="D31" s="92">
        <v>12</v>
      </c>
      <c r="E31" s="93" t="s">
        <v>149</v>
      </c>
      <c r="F31" s="89">
        <v>200</v>
      </c>
      <c r="G31" s="89">
        <f t="shared" si="1"/>
        <v>2400</v>
      </c>
    </row>
    <row r="32" spans="1:7" ht="13.5" customHeight="1" x14ac:dyDescent="0.2">
      <c r="A32" s="6"/>
      <c r="B32" s="90" t="s">
        <v>204</v>
      </c>
      <c r="C32" s="91" t="s">
        <v>177</v>
      </c>
      <c r="D32" s="92">
        <v>12</v>
      </c>
      <c r="E32" s="93" t="s">
        <v>149</v>
      </c>
      <c r="F32" s="89">
        <v>40</v>
      </c>
      <c r="G32" s="89">
        <f t="shared" si="1"/>
        <v>480</v>
      </c>
    </row>
    <row r="33" spans="1:7" ht="13.5" customHeight="1" x14ac:dyDescent="0.2">
      <c r="A33" s="6"/>
      <c r="B33" s="90" t="s">
        <v>205</v>
      </c>
      <c r="C33" s="91" t="s">
        <v>178</v>
      </c>
      <c r="D33" s="92">
        <v>1</v>
      </c>
      <c r="E33" s="93" t="s">
        <v>145</v>
      </c>
      <c r="F33" s="89">
        <v>1900</v>
      </c>
      <c r="G33" s="89">
        <f t="shared" si="1"/>
        <v>1900</v>
      </c>
    </row>
    <row r="34" spans="1:7" ht="13.5" customHeight="1" x14ac:dyDescent="0.2">
      <c r="A34" s="6"/>
      <c r="B34" s="90" t="s">
        <v>206</v>
      </c>
      <c r="C34" s="91" t="s">
        <v>179</v>
      </c>
      <c r="D34" s="92">
        <v>1</v>
      </c>
      <c r="E34" s="93" t="s">
        <v>145</v>
      </c>
      <c r="F34" s="89">
        <v>400</v>
      </c>
      <c r="G34" s="89">
        <f t="shared" si="1"/>
        <v>400</v>
      </c>
    </row>
    <row r="35" spans="1:7" ht="15.75" customHeight="1" x14ac:dyDescent="0.2">
      <c r="A35" s="5" t="s">
        <v>2</v>
      </c>
      <c r="B35" s="98" t="s">
        <v>6</v>
      </c>
      <c r="C35" s="99" t="s">
        <v>217</v>
      </c>
      <c r="D35" s="100"/>
      <c r="E35" s="80"/>
      <c r="F35" s="80"/>
      <c r="G35" s="101">
        <f>SUM(G36)</f>
        <v>8400</v>
      </c>
    </row>
    <row r="36" spans="1:7" ht="13.5" customHeight="1" x14ac:dyDescent="0.2">
      <c r="A36" s="6"/>
      <c r="B36" s="90" t="s">
        <v>191</v>
      </c>
      <c r="C36" s="91" t="s">
        <v>180</v>
      </c>
      <c r="D36" s="92">
        <v>210</v>
      </c>
      <c r="E36" s="93" t="s">
        <v>150</v>
      </c>
      <c r="F36" s="89">
        <v>40</v>
      </c>
      <c r="G36" s="89">
        <f t="shared" si="1"/>
        <v>8400</v>
      </c>
    </row>
    <row r="37" spans="1:7" ht="15.75" customHeight="1" x14ac:dyDescent="0.2">
      <c r="A37" s="5" t="s">
        <v>2</v>
      </c>
      <c r="B37" s="98" t="s">
        <v>7</v>
      </c>
      <c r="C37" s="99" t="s">
        <v>218</v>
      </c>
      <c r="D37" s="100"/>
      <c r="E37" s="80"/>
      <c r="F37" s="80"/>
      <c r="G37" s="101">
        <f>SUM(G38)</f>
        <v>2560</v>
      </c>
    </row>
    <row r="38" spans="1:7" ht="13.5" customHeight="1" x14ac:dyDescent="0.2">
      <c r="A38" s="6"/>
      <c r="B38" s="90" t="s">
        <v>192</v>
      </c>
      <c r="C38" s="91" t="s">
        <v>181</v>
      </c>
      <c r="D38" s="92">
        <v>16</v>
      </c>
      <c r="E38" s="93" t="s">
        <v>145</v>
      </c>
      <c r="F38" s="89">
        <v>160</v>
      </c>
      <c r="G38" s="89">
        <f t="shared" si="1"/>
        <v>2560</v>
      </c>
    </row>
    <row r="39" spans="1:7" ht="15.75" customHeight="1" x14ac:dyDescent="0.2">
      <c r="A39" s="5" t="s">
        <v>2</v>
      </c>
      <c r="B39" s="98" t="s">
        <v>8</v>
      </c>
      <c r="C39" s="99" t="s">
        <v>219</v>
      </c>
      <c r="D39" s="100"/>
      <c r="E39" s="80"/>
      <c r="F39" s="80"/>
      <c r="G39" s="101">
        <f>SUM(G40:G42)</f>
        <v>2818.5</v>
      </c>
    </row>
    <row r="40" spans="1:7" ht="13.5" customHeight="1" x14ac:dyDescent="0.2">
      <c r="A40" s="6"/>
      <c r="B40" s="90" t="s">
        <v>193</v>
      </c>
      <c r="C40" s="91" t="s">
        <v>88</v>
      </c>
      <c r="D40" s="92">
        <v>350</v>
      </c>
      <c r="E40" s="93" t="s">
        <v>144</v>
      </c>
      <c r="F40" s="89">
        <v>2.41</v>
      </c>
      <c r="G40" s="89">
        <f t="shared" si="1"/>
        <v>843.5</v>
      </c>
    </row>
    <row r="41" spans="1:7" ht="13.5" customHeight="1" x14ac:dyDescent="0.2">
      <c r="A41" s="6"/>
      <c r="B41" s="90" t="s">
        <v>207</v>
      </c>
      <c r="C41" s="91" t="s">
        <v>89</v>
      </c>
      <c r="D41" s="92">
        <v>25</v>
      </c>
      <c r="E41" s="93" t="s">
        <v>150</v>
      </c>
      <c r="F41" s="89">
        <v>25</v>
      </c>
      <c r="G41" s="89">
        <f t="shared" si="1"/>
        <v>625</v>
      </c>
    </row>
    <row r="42" spans="1:7" ht="13.5" customHeight="1" x14ac:dyDescent="0.2">
      <c r="A42" s="6"/>
      <c r="B42" s="90" t="s">
        <v>208</v>
      </c>
      <c r="C42" s="91" t="s">
        <v>90</v>
      </c>
      <c r="D42" s="92">
        <v>90</v>
      </c>
      <c r="E42" s="93" t="s">
        <v>144</v>
      </c>
      <c r="F42" s="89">
        <v>15</v>
      </c>
      <c r="G42" s="89">
        <f t="shared" si="1"/>
        <v>1350</v>
      </c>
    </row>
    <row r="43" spans="1:7" ht="15.75" customHeight="1" x14ac:dyDescent="0.2">
      <c r="A43" s="5" t="s">
        <v>2</v>
      </c>
      <c r="B43" s="98" t="s">
        <v>9</v>
      </c>
      <c r="C43" s="99" t="s">
        <v>220</v>
      </c>
      <c r="D43" s="100"/>
      <c r="E43" s="80"/>
      <c r="F43" s="80"/>
      <c r="G43" s="101">
        <f>SUM(G44:G46)</f>
        <v>28550</v>
      </c>
    </row>
    <row r="44" spans="1:7" ht="13.5" customHeight="1" x14ac:dyDescent="0.2">
      <c r="A44" s="6"/>
      <c r="B44" s="90" t="s">
        <v>101</v>
      </c>
      <c r="C44" s="91" t="s">
        <v>26</v>
      </c>
      <c r="D44" s="92">
        <v>25</v>
      </c>
      <c r="E44" s="93" t="s">
        <v>150</v>
      </c>
      <c r="F44" s="89">
        <v>350</v>
      </c>
      <c r="G44" s="89">
        <f t="shared" si="1"/>
        <v>8750</v>
      </c>
    </row>
    <row r="45" spans="1:7" ht="13.5" customHeight="1" x14ac:dyDescent="0.2">
      <c r="A45" s="6"/>
      <c r="B45" s="90" t="s">
        <v>102</v>
      </c>
      <c r="C45" s="91" t="s">
        <v>37</v>
      </c>
      <c r="D45" s="92">
        <v>45</v>
      </c>
      <c r="E45" s="93" t="s">
        <v>144</v>
      </c>
      <c r="F45" s="89">
        <v>40</v>
      </c>
      <c r="G45" s="89">
        <f t="shared" si="1"/>
        <v>1800</v>
      </c>
    </row>
    <row r="46" spans="1:7" ht="13.5" customHeight="1" x14ac:dyDescent="0.2">
      <c r="A46" s="6"/>
      <c r="B46" s="90" t="s">
        <v>103</v>
      </c>
      <c r="C46" s="91" t="s">
        <v>275</v>
      </c>
      <c r="D46" s="92">
        <v>3000</v>
      </c>
      <c r="E46" s="93" t="s">
        <v>151</v>
      </c>
      <c r="F46" s="89">
        <v>6</v>
      </c>
      <c r="G46" s="89">
        <f t="shared" si="1"/>
        <v>18000</v>
      </c>
    </row>
    <row r="47" spans="1:7" ht="15.75" customHeight="1" x14ac:dyDescent="0.2">
      <c r="A47" s="5" t="s">
        <v>2</v>
      </c>
      <c r="B47" s="98" t="s">
        <v>10</v>
      </c>
      <c r="C47" s="99" t="s">
        <v>221</v>
      </c>
      <c r="D47" s="100"/>
      <c r="E47" s="80"/>
      <c r="F47" s="80"/>
      <c r="G47" s="101">
        <f>SUM(G48:G50)</f>
        <v>792500</v>
      </c>
    </row>
    <row r="48" spans="1:7" ht="13.5" customHeight="1" x14ac:dyDescent="0.2">
      <c r="A48" s="6"/>
      <c r="B48" s="90" t="s">
        <v>104</v>
      </c>
      <c r="C48" s="91" t="s">
        <v>26</v>
      </c>
      <c r="D48" s="92">
        <v>750</v>
      </c>
      <c r="E48" s="93" t="s">
        <v>150</v>
      </c>
      <c r="F48" s="89">
        <v>350</v>
      </c>
      <c r="G48" s="89">
        <f>D48*F48</f>
        <v>262500</v>
      </c>
    </row>
    <row r="49" spans="1:7" ht="13.5" customHeight="1" x14ac:dyDescent="0.2">
      <c r="A49" s="6"/>
      <c r="B49" s="90" t="s">
        <v>105</v>
      </c>
      <c r="C49" s="91" t="s">
        <v>37</v>
      </c>
      <c r="D49" s="92">
        <v>2000</v>
      </c>
      <c r="E49" s="93" t="s">
        <v>144</v>
      </c>
      <c r="F49" s="89">
        <v>40</v>
      </c>
      <c r="G49" s="89">
        <f>D49*F49</f>
        <v>80000</v>
      </c>
    </row>
    <row r="50" spans="1:7" ht="13.5" customHeight="1" x14ac:dyDescent="0.2">
      <c r="A50" s="6"/>
      <c r="B50" s="90" t="s">
        <v>106</v>
      </c>
      <c r="C50" s="91" t="s">
        <v>35</v>
      </c>
      <c r="D50" s="92">
        <v>75000</v>
      </c>
      <c r="E50" s="93" t="s">
        <v>151</v>
      </c>
      <c r="F50" s="89">
        <v>6</v>
      </c>
      <c r="G50" s="89">
        <f>D50*F50</f>
        <v>450000</v>
      </c>
    </row>
    <row r="51" spans="1:7" ht="15.75" customHeight="1" x14ac:dyDescent="0.2">
      <c r="A51" s="5" t="s">
        <v>2</v>
      </c>
      <c r="B51" s="98" t="s">
        <v>12</v>
      </c>
      <c r="C51" s="99" t="s">
        <v>222</v>
      </c>
      <c r="D51" s="100"/>
      <c r="E51" s="80"/>
      <c r="F51" s="80"/>
      <c r="G51" s="101">
        <f>SUM(G52)</f>
        <v>92500</v>
      </c>
    </row>
    <row r="52" spans="1:7" ht="13.5" customHeight="1" x14ac:dyDescent="0.2">
      <c r="A52" s="6"/>
      <c r="B52" s="90" t="s">
        <v>107</v>
      </c>
      <c r="C52" s="91" t="s">
        <v>38</v>
      </c>
      <c r="D52" s="92">
        <v>2500</v>
      </c>
      <c r="E52" s="93" t="s">
        <v>144</v>
      </c>
      <c r="F52" s="89">
        <v>37</v>
      </c>
      <c r="G52" s="89">
        <f>D52*F52</f>
        <v>92500</v>
      </c>
    </row>
    <row r="53" spans="1:7" ht="15.75" customHeight="1" x14ac:dyDescent="0.2">
      <c r="A53" s="5" t="s">
        <v>2</v>
      </c>
      <c r="B53" s="98" t="s">
        <v>13</v>
      </c>
      <c r="C53" s="99" t="s">
        <v>223</v>
      </c>
      <c r="D53" s="100"/>
      <c r="E53" s="80"/>
      <c r="F53" s="80"/>
      <c r="G53" s="101">
        <f>SUM(G54:G54)</f>
        <v>62000</v>
      </c>
    </row>
    <row r="54" spans="1:7" ht="13.5" customHeight="1" x14ac:dyDescent="0.2">
      <c r="A54" s="6"/>
      <c r="B54" s="90" t="s">
        <v>108</v>
      </c>
      <c r="C54" s="91" t="s">
        <v>74</v>
      </c>
      <c r="D54" s="92">
        <v>200</v>
      </c>
      <c r="E54" s="93" t="s">
        <v>144</v>
      </c>
      <c r="F54" s="89">
        <v>310</v>
      </c>
      <c r="G54" s="89">
        <f>D54*F54</f>
        <v>62000</v>
      </c>
    </row>
    <row r="55" spans="1:7" ht="15.75" customHeight="1" x14ac:dyDescent="0.2">
      <c r="A55" s="5" t="s">
        <v>2</v>
      </c>
      <c r="B55" s="98" t="s">
        <v>14</v>
      </c>
      <c r="C55" s="99" t="s">
        <v>224</v>
      </c>
      <c r="D55" s="100"/>
      <c r="E55" s="80"/>
      <c r="F55" s="80"/>
      <c r="G55" s="101">
        <f>SUM(G56:G56)</f>
        <v>17192</v>
      </c>
    </row>
    <row r="56" spans="1:7" ht="13.5" customHeight="1" x14ac:dyDescent="0.2">
      <c r="A56" s="6"/>
      <c r="B56" s="90" t="s">
        <v>110</v>
      </c>
      <c r="C56" s="91" t="s">
        <v>69</v>
      </c>
      <c r="D56" s="92">
        <v>800</v>
      </c>
      <c r="E56" s="93" t="s">
        <v>144</v>
      </c>
      <c r="F56" s="89">
        <v>21.49</v>
      </c>
      <c r="G56" s="89">
        <f>D56*F56</f>
        <v>17192</v>
      </c>
    </row>
    <row r="57" spans="1:7" ht="15.75" customHeight="1" x14ac:dyDescent="0.2">
      <c r="A57" s="5" t="s">
        <v>2</v>
      </c>
      <c r="B57" s="98" t="s">
        <v>16</v>
      </c>
      <c r="C57" s="99" t="s">
        <v>279</v>
      </c>
      <c r="D57" s="100"/>
      <c r="E57" s="80"/>
      <c r="F57" s="80"/>
      <c r="G57" s="101">
        <f>SUM(G58)</f>
        <v>18828</v>
      </c>
    </row>
    <row r="58" spans="1:7" ht="13.5" customHeight="1" x14ac:dyDescent="0.2">
      <c r="A58" s="6"/>
      <c r="B58" s="90" t="s">
        <v>112</v>
      </c>
      <c r="C58" s="91" t="s">
        <v>68</v>
      </c>
      <c r="D58" s="92">
        <v>1200</v>
      </c>
      <c r="E58" s="93" t="s">
        <v>144</v>
      </c>
      <c r="F58" s="89">
        <v>15.69</v>
      </c>
      <c r="G58" s="89">
        <f>D58*F58</f>
        <v>18828</v>
      </c>
    </row>
    <row r="59" spans="1:7" ht="15.75" customHeight="1" x14ac:dyDescent="0.2">
      <c r="A59" s="5" t="s">
        <v>2</v>
      </c>
      <c r="B59" s="98" t="s">
        <v>17</v>
      </c>
      <c r="C59" s="99" t="s">
        <v>226</v>
      </c>
      <c r="D59" s="100"/>
      <c r="E59" s="80"/>
      <c r="F59" s="80"/>
      <c r="G59" s="101">
        <f>SUM(G60:G61)</f>
        <v>41510</v>
      </c>
    </row>
    <row r="60" spans="1:7" ht="13.5" customHeight="1" x14ac:dyDescent="0.2">
      <c r="A60" s="6"/>
      <c r="B60" s="90" t="s">
        <v>115</v>
      </c>
      <c r="C60" s="91" t="s">
        <v>39</v>
      </c>
      <c r="D60" s="92">
        <v>3100</v>
      </c>
      <c r="E60" s="93" t="s">
        <v>144</v>
      </c>
      <c r="F60" s="89">
        <v>12</v>
      </c>
      <c r="G60" s="89">
        <f>D60*F60</f>
        <v>37200</v>
      </c>
    </row>
    <row r="61" spans="1:7" ht="13.5" customHeight="1" x14ac:dyDescent="0.2">
      <c r="A61" s="6"/>
      <c r="B61" s="90" t="s">
        <v>116</v>
      </c>
      <c r="C61" s="91" t="s">
        <v>260</v>
      </c>
      <c r="D61" s="92">
        <v>1000</v>
      </c>
      <c r="E61" s="93" t="s">
        <v>147</v>
      </c>
      <c r="F61" s="89">
        <v>4.3099999999999996</v>
      </c>
      <c r="G61" s="89">
        <f>D61*F61</f>
        <v>4310</v>
      </c>
    </row>
    <row r="62" spans="1:7" ht="15.75" customHeight="1" x14ac:dyDescent="0.2">
      <c r="A62" s="5" t="s">
        <v>2</v>
      </c>
      <c r="B62" s="98" t="s">
        <v>20</v>
      </c>
      <c r="C62" s="99" t="s">
        <v>227</v>
      </c>
      <c r="D62" s="100"/>
      <c r="E62" s="80"/>
      <c r="F62" s="80"/>
      <c r="G62" s="101">
        <f>SUM(G63:G68)</f>
        <v>880000</v>
      </c>
    </row>
    <row r="63" spans="1:7" ht="13.5" customHeight="1" x14ac:dyDescent="0.2">
      <c r="A63" s="6"/>
      <c r="B63" s="90" t="s">
        <v>134</v>
      </c>
      <c r="C63" s="91" t="s">
        <v>94</v>
      </c>
      <c r="D63" s="92">
        <v>1</v>
      </c>
      <c r="E63" s="93" t="s">
        <v>145</v>
      </c>
      <c r="F63" s="89">
        <v>280000</v>
      </c>
      <c r="G63" s="89">
        <f t="shared" ref="G63:G74" si="2">D63*F63</f>
        <v>280000</v>
      </c>
    </row>
    <row r="64" spans="1:7" ht="13.5" customHeight="1" x14ac:dyDescent="0.2">
      <c r="A64" s="6"/>
      <c r="B64" s="90" t="s">
        <v>135</v>
      </c>
      <c r="C64" s="91" t="s">
        <v>95</v>
      </c>
      <c r="D64" s="92">
        <v>1</v>
      </c>
      <c r="E64" s="93" t="s">
        <v>145</v>
      </c>
      <c r="F64" s="89">
        <v>35000</v>
      </c>
      <c r="G64" s="89">
        <f t="shared" si="2"/>
        <v>35000</v>
      </c>
    </row>
    <row r="65" spans="1:7" ht="13.5" customHeight="1" x14ac:dyDescent="0.2">
      <c r="A65" s="6"/>
      <c r="B65" s="90" t="s">
        <v>136</v>
      </c>
      <c r="C65" s="91" t="s">
        <v>96</v>
      </c>
      <c r="D65" s="92">
        <v>1</v>
      </c>
      <c r="E65" s="93" t="s">
        <v>145</v>
      </c>
      <c r="F65" s="89">
        <v>15000</v>
      </c>
      <c r="G65" s="89">
        <f t="shared" si="2"/>
        <v>15000</v>
      </c>
    </row>
    <row r="66" spans="1:7" ht="13.5" customHeight="1" x14ac:dyDescent="0.2">
      <c r="A66" s="6"/>
      <c r="B66" s="90" t="s">
        <v>137</v>
      </c>
      <c r="C66" s="91" t="s">
        <v>97</v>
      </c>
      <c r="D66" s="92">
        <v>1</v>
      </c>
      <c r="E66" s="93" t="s">
        <v>145</v>
      </c>
      <c r="F66" s="89">
        <v>350000</v>
      </c>
      <c r="G66" s="89">
        <f t="shared" si="2"/>
        <v>350000</v>
      </c>
    </row>
    <row r="67" spans="1:7" ht="13.5" customHeight="1" x14ac:dyDescent="0.2">
      <c r="A67" s="6"/>
      <c r="B67" s="90" t="s">
        <v>138</v>
      </c>
      <c r="C67" s="91" t="s">
        <v>98</v>
      </c>
      <c r="D67" s="92">
        <v>1</v>
      </c>
      <c r="E67" s="93" t="s">
        <v>145</v>
      </c>
      <c r="F67" s="89">
        <v>50000</v>
      </c>
      <c r="G67" s="89">
        <f t="shared" si="2"/>
        <v>50000</v>
      </c>
    </row>
    <row r="68" spans="1:7" ht="13.5" customHeight="1" x14ac:dyDescent="0.2">
      <c r="A68" s="6"/>
      <c r="B68" s="90" t="s">
        <v>139</v>
      </c>
      <c r="C68" s="91" t="s">
        <v>99</v>
      </c>
      <c r="D68" s="92">
        <v>1</v>
      </c>
      <c r="E68" s="93" t="s">
        <v>145</v>
      </c>
      <c r="F68" s="89">
        <v>150000</v>
      </c>
      <c r="G68" s="89">
        <f t="shared" si="2"/>
        <v>150000</v>
      </c>
    </row>
    <row r="69" spans="1:7" ht="15.75" customHeight="1" x14ac:dyDescent="0.2">
      <c r="A69" s="5" t="s">
        <v>2</v>
      </c>
      <c r="B69" s="98" t="s">
        <v>296</v>
      </c>
      <c r="C69" s="99" t="s">
        <v>297</v>
      </c>
      <c r="D69" s="100"/>
      <c r="E69" s="80"/>
      <c r="F69" s="80"/>
      <c r="G69" s="101">
        <f>SUM(G70)</f>
        <v>40000</v>
      </c>
    </row>
    <row r="70" spans="1:7" ht="13.5" customHeight="1" x14ac:dyDescent="0.2">
      <c r="A70" s="6"/>
      <c r="B70" s="90" t="s">
        <v>298</v>
      </c>
      <c r="C70" s="91" t="s">
        <v>91</v>
      </c>
      <c r="D70" s="92">
        <v>2</v>
      </c>
      <c r="E70" s="93" t="s">
        <v>146</v>
      </c>
      <c r="F70" s="89">
        <v>20000</v>
      </c>
      <c r="G70" s="89">
        <f t="shared" si="2"/>
        <v>40000</v>
      </c>
    </row>
    <row r="71" spans="1:7" ht="15.75" customHeight="1" x14ac:dyDescent="0.2">
      <c r="A71" s="5" t="s">
        <v>2</v>
      </c>
      <c r="B71" s="98" t="s">
        <v>22</v>
      </c>
      <c r="C71" s="99" t="s">
        <v>212</v>
      </c>
      <c r="D71" s="100"/>
      <c r="E71" s="80"/>
      <c r="F71" s="80"/>
      <c r="G71" s="101">
        <f>SUM(G72:G74)</f>
        <v>25900</v>
      </c>
    </row>
    <row r="72" spans="1:7" ht="13.5" customHeight="1" x14ac:dyDescent="0.2">
      <c r="A72" s="6"/>
      <c r="B72" s="90" t="s">
        <v>141</v>
      </c>
      <c r="C72" s="91" t="s">
        <v>92</v>
      </c>
      <c r="D72" s="92">
        <v>1</v>
      </c>
      <c r="E72" s="93" t="s">
        <v>145</v>
      </c>
      <c r="F72" s="89">
        <v>1000</v>
      </c>
      <c r="G72" s="89">
        <f t="shared" si="2"/>
        <v>1000</v>
      </c>
    </row>
    <row r="73" spans="1:7" ht="13.5" customHeight="1" x14ac:dyDescent="0.2">
      <c r="A73" s="6"/>
      <c r="B73" s="90" t="s">
        <v>142</v>
      </c>
      <c r="C73" s="91" t="s">
        <v>291</v>
      </c>
      <c r="D73" s="92">
        <v>1</v>
      </c>
      <c r="E73" s="93" t="s">
        <v>145</v>
      </c>
      <c r="F73" s="89">
        <v>20000</v>
      </c>
      <c r="G73" s="89">
        <f t="shared" si="2"/>
        <v>20000</v>
      </c>
    </row>
    <row r="74" spans="1:7" ht="13.5" customHeight="1" x14ac:dyDescent="0.2">
      <c r="A74" s="6"/>
      <c r="B74" s="90" t="s">
        <v>143</v>
      </c>
      <c r="C74" s="91" t="s">
        <v>93</v>
      </c>
      <c r="D74" s="92">
        <v>1</v>
      </c>
      <c r="E74" s="93" t="s">
        <v>145</v>
      </c>
      <c r="F74" s="89">
        <v>4900</v>
      </c>
      <c r="G74" s="89">
        <f t="shared" si="2"/>
        <v>4900</v>
      </c>
    </row>
    <row r="75" spans="1:7" x14ac:dyDescent="0.2">
      <c r="D75" s="4"/>
    </row>
    <row r="76" spans="1:7" ht="14.25" x14ac:dyDescent="0.2">
      <c r="D76" s="4"/>
      <c r="E76" s="13" t="s">
        <v>2</v>
      </c>
      <c r="F76" s="14"/>
      <c r="G76" s="12"/>
    </row>
    <row r="77" spans="1:7" x14ac:dyDescent="0.2">
      <c r="D77" s="4"/>
    </row>
    <row r="78" spans="1:7" x14ac:dyDescent="0.2">
      <c r="D78" s="4"/>
    </row>
    <row r="79" spans="1:7" x14ac:dyDescent="0.2">
      <c r="B79" s="29"/>
      <c r="C79" s="28"/>
      <c r="D79" s="4"/>
    </row>
    <row r="80" spans="1:7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Z167"/>
  <sheetViews>
    <sheetView tabSelected="1" zoomScale="70" zoomScaleNormal="7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H7" sqref="H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7" width="17.5703125" style="1" customWidth="1"/>
    <col min="8" max="8" width="17.7109375" style="1" bestFit="1" customWidth="1"/>
    <col min="9" max="12" width="17.28515625" style="1" customWidth="1"/>
    <col min="13" max="13" width="17.5703125" style="1" bestFit="1" customWidth="1"/>
    <col min="14" max="15" width="18.140625" style="1" bestFit="1" customWidth="1"/>
    <col min="16" max="24" width="17.28515625" style="1" customWidth="1"/>
    <col min="25" max="25" width="19.140625" style="1" customWidth="1"/>
    <col min="26" max="16384" width="9.140625" style="1"/>
  </cols>
  <sheetData>
    <row r="1" spans="1:25" ht="40.5" customHeight="1" x14ac:dyDescent="0.2">
      <c r="A1" s="30"/>
      <c r="B1" s="160" t="s">
        <v>230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</row>
    <row r="2" spans="1:25" ht="9.75" customHeight="1" x14ac:dyDescent="0.2">
      <c r="A2" s="30"/>
      <c r="B2" s="103"/>
      <c r="C2" s="104"/>
      <c r="D2" s="104"/>
      <c r="E2" s="104"/>
      <c r="F2" s="104"/>
      <c r="G2" s="104"/>
      <c r="H2" s="148"/>
      <c r="I2" s="148"/>
      <c r="J2" s="148"/>
      <c r="K2" s="148"/>
      <c r="L2" s="148"/>
      <c r="M2" s="148"/>
      <c r="N2" s="148"/>
      <c r="O2" s="148"/>
    </row>
    <row r="3" spans="1:25" ht="14.25" customHeight="1" x14ac:dyDescent="0.2">
      <c r="A3" s="30"/>
      <c r="B3" s="35" t="s">
        <v>280</v>
      </c>
      <c r="C3" s="77"/>
      <c r="D3" s="77"/>
      <c r="E3" s="77" t="str">
        <f>IF(Y9=100%,"Finalizado",IF(Y9=0%,"Não iniciado","Em andamento"))</f>
        <v>Finalizado</v>
      </c>
      <c r="F3" s="77"/>
      <c r="G3" s="77"/>
      <c r="H3" s="148"/>
      <c r="I3" s="148"/>
      <c r="J3" s="148"/>
      <c r="K3" s="148"/>
      <c r="L3" s="148"/>
      <c r="M3" s="148"/>
      <c r="N3" s="148"/>
      <c r="O3" s="148"/>
    </row>
    <row r="4" spans="1:25" ht="14.25" customHeight="1" x14ac:dyDescent="0.2">
      <c r="A4" s="30"/>
      <c r="B4" s="35" t="str">
        <f>ORÇAMENTO!B4</f>
        <v xml:space="preserve">PRAZO DA OBRA: 16 meses </v>
      </c>
      <c r="C4" s="32"/>
      <c r="D4" s="32"/>
      <c r="E4" s="32"/>
      <c r="F4" s="32"/>
      <c r="G4" s="32"/>
      <c r="H4" s="148"/>
      <c r="J4" s="148"/>
      <c r="K4" s="148"/>
      <c r="L4" s="148"/>
      <c r="M4" s="148"/>
      <c r="N4" s="148"/>
      <c r="O4" s="148"/>
    </row>
    <row r="5" spans="1:25" ht="12.75" hidden="1" customHeight="1" x14ac:dyDescent="0.2">
      <c r="A5" s="30"/>
      <c r="B5" s="30"/>
      <c r="C5" s="34"/>
      <c r="D5" s="34"/>
      <c r="E5" s="34"/>
      <c r="F5" s="34"/>
      <c r="G5" s="34"/>
      <c r="H5" s="154">
        <f>IF(COUNTIF(H9:H42,"&gt;0"),1+0," ")</f>
        <v>1</v>
      </c>
      <c r="I5" s="154">
        <f>IF(COUNTIF(I9:I42,"&gt;0"),1+H5," ")</f>
        <v>2</v>
      </c>
      <c r="J5" s="154">
        <f t="shared" ref="J5:X5" si="0">IF(COUNTIF(J9:J42,"&gt;0"),1+I5," ")</f>
        <v>3</v>
      </c>
      <c r="K5" s="154">
        <f t="shared" si="0"/>
        <v>4</v>
      </c>
      <c r="L5" s="154">
        <f t="shared" si="0"/>
        <v>5</v>
      </c>
      <c r="M5" s="154">
        <f t="shared" si="0"/>
        <v>6</v>
      </c>
      <c r="N5" s="154">
        <f t="shared" si="0"/>
        <v>7</v>
      </c>
      <c r="O5" s="154">
        <f t="shared" si="0"/>
        <v>8</v>
      </c>
      <c r="P5" s="154">
        <f t="shared" si="0"/>
        <v>9</v>
      </c>
      <c r="Q5" s="154">
        <f t="shared" si="0"/>
        <v>10</v>
      </c>
      <c r="R5" s="154">
        <f t="shared" si="0"/>
        <v>11</v>
      </c>
      <c r="S5" s="154">
        <f t="shared" si="0"/>
        <v>12</v>
      </c>
      <c r="T5" s="154">
        <f t="shared" si="0"/>
        <v>13</v>
      </c>
      <c r="U5" s="154">
        <f t="shared" si="0"/>
        <v>14</v>
      </c>
      <c r="V5" s="154">
        <f t="shared" si="0"/>
        <v>15</v>
      </c>
      <c r="W5" s="154">
        <f t="shared" si="0"/>
        <v>16</v>
      </c>
      <c r="X5" s="154" t="str">
        <f t="shared" si="0"/>
        <v xml:space="preserve"> </v>
      </c>
    </row>
    <row r="6" spans="1:25" ht="17.25" customHeight="1" x14ac:dyDescent="0.2">
      <c r="B6" s="7"/>
      <c r="H6" s="117" t="str">
        <f t="shared" ref="H6:X6" si="1">"Mês"&amp;" "&amp;H5</f>
        <v>Mês 1</v>
      </c>
      <c r="I6" s="117" t="str">
        <f t="shared" si="1"/>
        <v>Mês 2</v>
      </c>
      <c r="J6" s="117" t="str">
        <f t="shared" si="1"/>
        <v>Mês 3</v>
      </c>
      <c r="K6" s="117" t="str">
        <f t="shared" si="1"/>
        <v>Mês 4</v>
      </c>
      <c r="L6" s="117" t="str">
        <f t="shared" si="1"/>
        <v>Mês 5</v>
      </c>
      <c r="M6" s="117" t="str">
        <f t="shared" si="1"/>
        <v>Mês 6</v>
      </c>
      <c r="N6" s="117" t="str">
        <f t="shared" si="1"/>
        <v>Mês 7</v>
      </c>
      <c r="O6" s="117" t="str">
        <f t="shared" si="1"/>
        <v>Mês 8</v>
      </c>
      <c r="P6" s="117" t="str">
        <f t="shared" si="1"/>
        <v>Mês 9</v>
      </c>
      <c r="Q6" s="117" t="str">
        <f t="shared" si="1"/>
        <v>Mês 10</v>
      </c>
      <c r="R6" s="117" t="str">
        <f t="shared" si="1"/>
        <v>Mês 11</v>
      </c>
      <c r="S6" s="117" t="str">
        <f t="shared" si="1"/>
        <v>Mês 12</v>
      </c>
      <c r="T6" s="117" t="str">
        <f t="shared" si="1"/>
        <v>Mês 13</v>
      </c>
      <c r="U6" s="117" t="str">
        <f t="shared" si="1"/>
        <v>Mês 14</v>
      </c>
      <c r="V6" s="117" t="str">
        <f t="shared" si="1"/>
        <v>Mês 15</v>
      </c>
      <c r="W6" s="117" t="str">
        <f t="shared" si="1"/>
        <v>Mês 16</v>
      </c>
      <c r="X6" s="117" t="str">
        <f t="shared" si="1"/>
        <v xml:space="preserve">Mês  </v>
      </c>
    </row>
    <row r="7" spans="1:25" ht="18" customHeight="1" x14ac:dyDescent="0.2">
      <c r="B7" s="105" t="s">
        <v>0</v>
      </c>
      <c r="C7" s="106" t="s">
        <v>277</v>
      </c>
      <c r="D7" s="106"/>
      <c r="E7" s="106" t="s">
        <v>304</v>
      </c>
      <c r="F7" s="106" t="s">
        <v>308</v>
      </c>
      <c r="G7" s="106" t="s">
        <v>309</v>
      </c>
      <c r="H7" s="117">
        <v>40360</v>
      </c>
      <c r="I7" s="117">
        <v>40391</v>
      </c>
      <c r="J7" s="117">
        <v>40422</v>
      </c>
      <c r="K7" s="117">
        <v>40452</v>
      </c>
      <c r="L7" s="117">
        <v>40483</v>
      </c>
      <c r="M7" s="117">
        <v>40513</v>
      </c>
      <c r="N7" s="117">
        <v>40544</v>
      </c>
      <c r="O7" s="117">
        <v>40575</v>
      </c>
      <c r="P7" s="117">
        <v>40603</v>
      </c>
      <c r="Q7" s="117">
        <v>40634</v>
      </c>
      <c r="R7" s="117">
        <v>40664</v>
      </c>
      <c r="S7" s="117">
        <v>40695</v>
      </c>
      <c r="T7" s="117">
        <v>40725</v>
      </c>
      <c r="U7" s="117">
        <v>40756</v>
      </c>
      <c r="V7" s="117">
        <v>40787</v>
      </c>
      <c r="W7" s="117">
        <v>40817</v>
      </c>
      <c r="X7" s="117">
        <v>40848</v>
      </c>
    </row>
    <row r="8" spans="1:25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23"/>
    </row>
    <row r="9" spans="1:25" ht="14.25" customHeight="1" x14ac:dyDescent="0.2">
      <c r="A9" s="11" t="s">
        <v>194</v>
      </c>
      <c r="B9" s="122" t="s">
        <v>2</v>
      </c>
      <c r="C9" s="122" t="str">
        <f>VLOOKUP(B9,ORÇAMENTO!B7:G83,2,0)</f>
        <v>SERVIÇOS TÉCNICOS</v>
      </c>
      <c r="D9" s="122"/>
      <c r="E9" s="163"/>
      <c r="F9" s="165"/>
      <c r="G9" s="165"/>
      <c r="H9" s="144">
        <f>IFERROR(IF($E$9="Não iniciado","",IF(H10="","",H10/ORÇAMENTO!$G$7)),"")</f>
        <v>1</v>
      </c>
      <c r="I9" s="144" t="str">
        <f>IFERROR(IF(I10="","",I10/ORÇAMENTO!$G$7),"")</f>
        <v/>
      </c>
      <c r="J9" s="144" t="str">
        <f>IFERROR(IF(J10="","",J10/ORÇAMENTO!$G$7),"")</f>
        <v/>
      </c>
      <c r="K9" s="144" t="str">
        <f>IFERROR(IF(K10="","",K10/ORÇAMENTO!$G$7),"")</f>
        <v/>
      </c>
      <c r="L9" s="144" t="str">
        <f>IFERROR(IF(L10="","",L10/ORÇAMENTO!$G$7),"")</f>
        <v/>
      </c>
      <c r="M9" s="144" t="str">
        <f>IFERROR(IF(M10="","",M10/ORÇAMENTO!$G$7),"")</f>
        <v/>
      </c>
      <c r="N9" s="144" t="str">
        <f>IFERROR(IF(N10="","",N10/ORÇAMENTO!$G$7),"")</f>
        <v/>
      </c>
      <c r="O9" s="144" t="str">
        <f>IFERROR(IF(O10="","",O10/ORÇAMENTO!$G$7),"")</f>
        <v/>
      </c>
      <c r="P9" s="144" t="str">
        <f>IFERROR(IF(P10="","",P10/ORÇAMENTO!$G$7),"")</f>
        <v/>
      </c>
      <c r="Q9" s="144" t="str">
        <f>IFERROR(IF(Q10="","",Q10/ORÇAMENTO!$G$7),"")</f>
        <v/>
      </c>
      <c r="R9" s="144" t="str">
        <f>IFERROR(IF(R10="","",R10/ORÇAMENTO!$G$7),"")</f>
        <v/>
      </c>
      <c r="S9" s="144" t="str">
        <f>IFERROR(IF(S10="","",S10/ORÇAMENTO!$G$7),"")</f>
        <v/>
      </c>
      <c r="T9" s="144" t="str">
        <f>IFERROR(IF(T10="","",T10/ORÇAMENTO!$G$7),"")</f>
        <v/>
      </c>
      <c r="U9" s="144" t="str">
        <f>IFERROR(IF(U10="","",U10/ORÇAMENTO!$G$7),"")</f>
        <v/>
      </c>
      <c r="V9" s="144" t="str">
        <f>IFERROR(IF(V10="","",V10/ORÇAMENTO!$G$7),"")</f>
        <v/>
      </c>
      <c r="W9" s="144" t="str">
        <f>IFERROR(IF(W10="","",W10/ORÇAMENTO!$G$7),"")</f>
        <v/>
      </c>
      <c r="X9" s="144" t="str">
        <f>IFERROR(IF(X10="","",X10/ORÇAMENTO!$G$7),"")</f>
        <v/>
      </c>
      <c r="Y9" s="124">
        <f t="shared" ref="Y9:Y42" si="2">SUM(H9:X9)</f>
        <v>1</v>
      </c>
    </row>
    <row r="10" spans="1:25" ht="14.25" customHeight="1" x14ac:dyDescent="0.2">
      <c r="A10" s="11" t="s">
        <v>195</v>
      </c>
      <c r="B10" s="81"/>
      <c r="C10" s="81" t="s">
        <v>285</v>
      </c>
      <c r="D10" s="81"/>
      <c r="E10" s="164"/>
      <c r="F10" s="165"/>
      <c r="G10" s="165"/>
      <c r="H10" s="149">
        <v>116000</v>
      </c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25">
        <f t="shared" si="2"/>
        <v>116000</v>
      </c>
    </row>
    <row r="11" spans="1:25" ht="14.25" customHeight="1" x14ac:dyDescent="0.2">
      <c r="A11" s="11" t="s">
        <v>194</v>
      </c>
      <c r="B11" s="122" t="s">
        <v>3</v>
      </c>
      <c r="C11" s="129" t="str">
        <f>VLOOKUP(B11,ORÇAMENTO!B9:G85,2,0)</f>
        <v>INSTALAÇÕES PROVISÓRIAS</v>
      </c>
      <c r="D11" s="129"/>
      <c r="E11" s="163" t="s">
        <v>305</v>
      </c>
      <c r="F11" s="165"/>
      <c r="G11" s="165"/>
      <c r="H11" s="144">
        <f>IFERROR(IF(H12="","",H12/ORÇAMENTO!$G$14)," ")</f>
        <v>1</v>
      </c>
      <c r="I11" s="144" t="str">
        <f>IFERROR(IF(I12="","",I12/ORÇAMENTO!$G$14)," ")</f>
        <v/>
      </c>
      <c r="J11" s="144" t="str">
        <f>IFERROR(IF(J12="","",J12/ORÇAMENTO!$G$14)," ")</f>
        <v/>
      </c>
      <c r="K11" s="144" t="str">
        <f>IFERROR(IF(K12="","",K12/ORÇAMENTO!$G$14)," ")</f>
        <v/>
      </c>
      <c r="L11" s="144" t="str">
        <f>IFERROR(IF(L12="","",L12/ORÇAMENTO!$G$14)," ")</f>
        <v/>
      </c>
      <c r="M11" s="144" t="str">
        <f>IFERROR(IF(M12="","",M12/ORÇAMENTO!$G$14)," ")</f>
        <v/>
      </c>
      <c r="N11" s="144" t="str">
        <f>IFERROR(IF(N12="","",N12/ORÇAMENTO!$G$14)," ")</f>
        <v/>
      </c>
      <c r="O11" s="144" t="str">
        <f>IFERROR(IF(O12="","",O12/ORÇAMENTO!$G$14)," ")</f>
        <v/>
      </c>
      <c r="P11" s="144" t="str">
        <f>IFERROR(IF(P12="","",P12/ORÇAMENTO!$G$14)," ")</f>
        <v/>
      </c>
      <c r="Q11" s="144" t="str">
        <f>IFERROR(IF(Q12="","",Q12/ORÇAMENTO!$G$14)," ")</f>
        <v/>
      </c>
      <c r="R11" s="144" t="str">
        <f>IFERROR(IF(R12="","",R12/ORÇAMENTO!$G$14)," ")</f>
        <v/>
      </c>
      <c r="S11" s="144" t="str">
        <f>IFERROR(IF(S12="","",S12/ORÇAMENTO!$G$14)," ")</f>
        <v/>
      </c>
      <c r="T11" s="144" t="str">
        <f>IFERROR(IF(T12="","",T12/ORÇAMENTO!$G$14)," ")</f>
        <v/>
      </c>
      <c r="U11" s="144" t="str">
        <f>IFERROR(IF(U12="","",U12/ORÇAMENTO!$G$14)," ")</f>
        <v/>
      </c>
      <c r="V11" s="144" t="str">
        <f>IFERROR(IF(V12="","",V12/ORÇAMENTO!$G$14)," ")</f>
        <v/>
      </c>
      <c r="W11" s="144" t="str">
        <f>IFERROR(IF(W12="","",W12/ORÇAMENTO!$G$14)," ")</f>
        <v/>
      </c>
      <c r="X11" s="144" t="str">
        <f>IFERROR(IF(X12="","",X12/ORÇAMENTO!$G$14)," ")</f>
        <v/>
      </c>
      <c r="Y11" s="124">
        <f t="shared" si="2"/>
        <v>1</v>
      </c>
    </row>
    <row r="12" spans="1:25" ht="14.25" customHeight="1" x14ac:dyDescent="0.2">
      <c r="A12" s="11" t="s">
        <v>195</v>
      </c>
      <c r="B12" s="81"/>
      <c r="C12" s="81" t="s">
        <v>285</v>
      </c>
      <c r="D12" s="81"/>
      <c r="E12" s="164"/>
      <c r="F12" s="165"/>
      <c r="G12" s="165"/>
      <c r="H12" s="149">
        <v>9602.2999999999993</v>
      </c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25">
        <f t="shared" si="2"/>
        <v>9602.2999999999993</v>
      </c>
    </row>
    <row r="13" spans="1:25" ht="14.25" customHeight="1" x14ac:dyDescent="0.2">
      <c r="A13" s="11" t="s">
        <v>194</v>
      </c>
      <c r="B13" s="122" t="s">
        <v>4</v>
      </c>
      <c r="C13" s="122" t="str">
        <f>VLOOKUP(B13,ORÇAMENTO!B11:G87,2,0)</f>
        <v>EQUIPAMENTOS</v>
      </c>
      <c r="D13" s="122"/>
      <c r="E13" s="163" t="s">
        <v>306</v>
      </c>
      <c r="F13" s="165"/>
      <c r="G13" s="165"/>
      <c r="H13" s="142">
        <f>IFERROR(IF(H14="","",H14/ORÇAMENTO!$G$20)," ")</f>
        <v>0.5</v>
      </c>
      <c r="I13" s="142">
        <f>IFERROR(IF(I14="","",I14/ORÇAMENTO!$G$20)," ")</f>
        <v>0.5</v>
      </c>
      <c r="J13" s="142" t="str">
        <f>IFERROR(IF(J14="","",J14/ORÇAMENTO!$G$20)," ")</f>
        <v/>
      </c>
      <c r="K13" s="142" t="str">
        <f>IFERROR(IF(K14="","",K14/ORÇAMENTO!$G$20)," ")</f>
        <v/>
      </c>
      <c r="L13" s="142" t="str">
        <f>IFERROR(IF(L14="","",L14/ORÇAMENTO!$G$20)," ")</f>
        <v/>
      </c>
      <c r="M13" s="142" t="str">
        <f>IFERROR(IF(M14="","",M14/ORÇAMENTO!$G$20)," ")</f>
        <v/>
      </c>
      <c r="N13" s="142" t="str">
        <f>IFERROR(IF(N14="","",N14/ORÇAMENTO!$G$20)," ")</f>
        <v/>
      </c>
      <c r="O13" s="142" t="str">
        <f>IFERROR(IF(O14="","",O14/ORÇAMENTO!$G$20)," ")</f>
        <v/>
      </c>
      <c r="P13" s="142" t="str">
        <f>IFERROR(IF(P14="","",P14/ORÇAMENTO!$G$20)," ")</f>
        <v/>
      </c>
      <c r="Q13" s="142" t="str">
        <f>IFERROR(IF(Q14="","",Q14/ORÇAMENTO!$G$20)," ")</f>
        <v/>
      </c>
      <c r="R13" s="142" t="str">
        <f>IFERROR(IF(R14="","",R14/ORÇAMENTO!$G$20)," ")</f>
        <v/>
      </c>
      <c r="S13" s="142" t="str">
        <f>IFERROR(IF(S14="","",S14/ORÇAMENTO!$G$20)," ")</f>
        <v/>
      </c>
      <c r="T13" s="142" t="str">
        <f>IFERROR(IF(T14="","",T14/ORÇAMENTO!$G$20)," ")</f>
        <v/>
      </c>
      <c r="U13" s="142" t="str">
        <f>IFERROR(IF(U14="","",U14/ORÇAMENTO!$G$20)," ")</f>
        <v/>
      </c>
      <c r="V13" s="142" t="str">
        <f>IFERROR(IF(V14="","",V14/ORÇAMENTO!$G$20)," ")</f>
        <v/>
      </c>
      <c r="W13" s="142" t="str">
        <f>IFERROR(IF(W14="","",W14/ORÇAMENTO!$G$20)," ")</f>
        <v/>
      </c>
      <c r="X13" s="142" t="str">
        <f>IFERROR(IF(X14="","",X14/ORÇAMENTO!$G$20)," ")</f>
        <v/>
      </c>
      <c r="Y13" s="124">
        <f t="shared" si="2"/>
        <v>1</v>
      </c>
    </row>
    <row r="14" spans="1:25" ht="14.25" customHeight="1" x14ac:dyDescent="0.2">
      <c r="A14" s="11" t="s">
        <v>195</v>
      </c>
      <c r="B14" s="81"/>
      <c r="C14" s="81" t="s">
        <v>286</v>
      </c>
      <c r="D14" s="81">
        <v>2</v>
      </c>
      <c r="E14" s="164"/>
      <c r="F14" s="165"/>
      <c r="G14" s="165"/>
      <c r="H14" s="149">
        <f>IF($D$14&gt;0,ORÇAMENTO!$G$20/$D$14," ")</f>
        <v>6468</v>
      </c>
      <c r="I14" s="149">
        <f>IF($D$14&gt;0,ORÇAMENTO!$G$20/$D$14," ")</f>
        <v>6468</v>
      </c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25">
        <f t="shared" si="2"/>
        <v>12936</v>
      </c>
    </row>
    <row r="15" spans="1:25" ht="14.25" customHeight="1" x14ac:dyDescent="0.2">
      <c r="A15" s="11" t="s">
        <v>194</v>
      </c>
      <c r="B15" s="122" t="s">
        <v>5</v>
      </c>
      <c r="C15" s="129" t="str">
        <f>VLOOKUP(B15,ORÇAMENTO!B13:G89,2,0)</f>
        <v>DESPESAS INDIRETAS</v>
      </c>
      <c r="D15" s="129"/>
      <c r="E15" s="163" t="s">
        <v>307</v>
      </c>
      <c r="F15" s="165"/>
      <c r="G15" s="165"/>
      <c r="H15" s="142" t="str">
        <f>IFERROR(IF(H16="","",H16/ORÇAMENTO!$G$25)," ")</f>
        <v/>
      </c>
      <c r="I15" s="142" t="str">
        <f>IFERROR(IF(I16="","",I16/ORÇAMENTO!$G$25)," ")</f>
        <v/>
      </c>
      <c r="J15" s="142">
        <f>IFERROR(IF(J16="","",J16/ORÇAMENTO!$G$25)," ")</f>
        <v>8.3333333333333329E-2</v>
      </c>
      <c r="K15" s="142">
        <f>IFERROR(IF(K16="","",K16/ORÇAMENTO!$G$25)," ")</f>
        <v>8.3333333333333329E-2</v>
      </c>
      <c r="L15" s="142">
        <f>IFERROR(IF(L16="","",L16/ORÇAMENTO!$G$25)," ")</f>
        <v>8.3333333333333329E-2</v>
      </c>
      <c r="M15" s="142">
        <f>IFERROR(IF(M16="","",M16/ORÇAMENTO!$G$25)," ")</f>
        <v>8.3333333333333329E-2</v>
      </c>
      <c r="N15" s="142">
        <f>IFERROR(IF(N16="","",N16/ORÇAMENTO!$G$25)," ")</f>
        <v>8.3333333333333329E-2</v>
      </c>
      <c r="O15" s="142">
        <f>IFERROR(IF(O16="","",O16/ORÇAMENTO!$G$25)," ")</f>
        <v>8.3333333333333329E-2</v>
      </c>
      <c r="P15" s="142">
        <f>IFERROR(IF(P16="","",P16/ORÇAMENTO!$G$25)," ")</f>
        <v>8.3333333333333329E-2</v>
      </c>
      <c r="Q15" s="142">
        <f>IFERROR(IF(Q16="","",Q16/ORÇAMENTO!$G$25)," ")</f>
        <v>8.3333333333333329E-2</v>
      </c>
      <c r="R15" s="142">
        <f>IFERROR(IF(R16="","",R16/ORÇAMENTO!$G$25)," ")</f>
        <v>8.3333333333333329E-2</v>
      </c>
      <c r="S15" s="142">
        <f>IFERROR(IF(S16="","",S16/ORÇAMENTO!$G$25)," ")</f>
        <v>8.3333333333333329E-2</v>
      </c>
      <c r="T15" s="142">
        <f>IFERROR(IF(T16="","",T16/ORÇAMENTO!$G$25)," ")</f>
        <v>8.3333333333333329E-2</v>
      </c>
      <c r="U15" s="142">
        <f>IFERROR(IF(U16="","",U16/ORÇAMENTO!$G$25)," ")</f>
        <v>8.3333333333333329E-2</v>
      </c>
      <c r="V15" s="142" t="str">
        <f>IFERROR(IF(V16="","",V16/ORÇAMENTO!$G$25)," ")</f>
        <v/>
      </c>
      <c r="W15" s="142" t="str">
        <f>IFERROR(IF(W16="","",W16/ORÇAMENTO!$G$25)," ")</f>
        <v/>
      </c>
      <c r="X15" s="142" t="str">
        <f>IFERROR(IF(X16="","",X16/ORÇAMENTO!$G$25)," ")</f>
        <v/>
      </c>
      <c r="Y15" s="124">
        <f t="shared" si="2"/>
        <v>1</v>
      </c>
    </row>
    <row r="16" spans="1:25" ht="14.25" customHeight="1" x14ac:dyDescent="0.2">
      <c r="A16" s="11" t="s">
        <v>195</v>
      </c>
      <c r="B16" s="81"/>
      <c r="C16" s="81" t="s">
        <v>289</v>
      </c>
      <c r="D16" s="147"/>
      <c r="E16" s="164"/>
      <c r="F16" s="165"/>
      <c r="G16" s="165"/>
      <c r="H16" s="149"/>
      <c r="I16" s="149"/>
      <c r="J16" s="149">
        <f>ORÇAMENTO!$G$25/12</f>
        <v>15831.666666666666</v>
      </c>
      <c r="K16" s="149">
        <f>ORÇAMENTO!$G$25/12</f>
        <v>15831.666666666666</v>
      </c>
      <c r="L16" s="149">
        <f>ORÇAMENTO!$G$25/12</f>
        <v>15831.666666666666</v>
      </c>
      <c r="M16" s="149">
        <f>ORÇAMENTO!$G$25/12</f>
        <v>15831.666666666666</v>
      </c>
      <c r="N16" s="149">
        <f>ORÇAMENTO!$G$25/12</f>
        <v>15831.666666666666</v>
      </c>
      <c r="O16" s="149">
        <f>ORÇAMENTO!$G$25/12</f>
        <v>15831.666666666666</v>
      </c>
      <c r="P16" s="149">
        <f>ORÇAMENTO!$G$25/12</f>
        <v>15831.666666666666</v>
      </c>
      <c r="Q16" s="149">
        <f>ORÇAMENTO!$G$25/12</f>
        <v>15831.666666666666</v>
      </c>
      <c r="R16" s="149">
        <f>ORÇAMENTO!$G$25/12</f>
        <v>15831.666666666666</v>
      </c>
      <c r="S16" s="149">
        <f>ORÇAMENTO!$G$25/12</f>
        <v>15831.666666666666</v>
      </c>
      <c r="T16" s="149">
        <f>ORÇAMENTO!$G$25/12</f>
        <v>15831.666666666666</v>
      </c>
      <c r="U16" s="149">
        <f>ORÇAMENTO!$G$25/12</f>
        <v>15831.666666666666</v>
      </c>
      <c r="V16" s="149"/>
      <c r="W16" s="149"/>
      <c r="X16" s="149"/>
      <c r="Y16" s="125">
        <f t="shared" si="2"/>
        <v>189979.99999999997</v>
      </c>
    </row>
    <row r="17" spans="1:25" ht="14.25" customHeight="1" x14ac:dyDescent="0.2">
      <c r="A17" s="11" t="s">
        <v>194</v>
      </c>
      <c r="B17" s="122" t="s">
        <v>6</v>
      </c>
      <c r="C17" s="122" t="str">
        <f>VLOOKUP(B17,ORÇAMENTO!B15:G91,2,0)</f>
        <v>LIMPEZA DA OBRA</v>
      </c>
      <c r="D17" s="122"/>
      <c r="E17" s="163" t="s">
        <v>305</v>
      </c>
      <c r="F17" s="165"/>
      <c r="G17" s="165"/>
      <c r="H17" s="142" t="str">
        <f>IFERROR(IF(H18="","",H18/ORÇAMENTO!$G$35),"")</f>
        <v/>
      </c>
      <c r="I17" s="142" t="str">
        <f>IFERROR(IF(I18="","",I18/ORÇAMENTO!$G$35),"")</f>
        <v/>
      </c>
      <c r="J17" s="142">
        <f>IFERROR(IF(J18="","",J18/ORÇAMENTO!$G$35),"")</f>
        <v>9.0909090909090912E-2</v>
      </c>
      <c r="K17" s="142">
        <f>IFERROR(IF(K18="","",K18/ORÇAMENTO!$G$35),"")</f>
        <v>9.0909090909090912E-2</v>
      </c>
      <c r="L17" s="142">
        <f>IFERROR(IF(L18="","",L18/ORÇAMENTO!$G$35),"")</f>
        <v>9.0909090909090912E-2</v>
      </c>
      <c r="M17" s="142">
        <f>IFERROR(IF(M18="","",M18/ORÇAMENTO!$G$35),"")</f>
        <v>9.0909090909090912E-2</v>
      </c>
      <c r="N17" s="142">
        <f>IFERROR(IF(N18="","",N18/ORÇAMENTO!$G$35),"")</f>
        <v>9.0909090909090912E-2</v>
      </c>
      <c r="O17" s="142">
        <f>IFERROR(IF(O18="","",O18/ORÇAMENTO!$G$35),"")</f>
        <v>9.0909090909090912E-2</v>
      </c>
      <c r="P17" s="142">
        <f>IFERROR(IF(P18="","",P18/ORÇAMENTO!$G$35),"")</f>
        <v>9.0909090909090912E-2</v>
      </c>
      <c r="Q17" s="142">
        <f>IFERROR(IF(Q18="","",Q18/ORÇAMENTO!$G$35),"")</f>
        <v>9.0909090909090912E-2</v>
      </c>
      <c r="R17" s="142">
        <f>IFERROR(IF(R18="","",R18/ORÇAMENTO!$G$35),"")</f>
        <v>9.0909090909090912E-2</v>
      </c>
      <c r="S17" s="142">
        <f>IFERROR(IF(S18="","",S18/ORÇAMENTO!$G$35),"")</f>
        <v>9.0909090909090912E-2</v>
      </c>
      <c r="T17" s="142">
        <f>IFERROR(IF(T18="","",T18/ORÇAMENTO!$G$35),"")</f>
        <v>9.0909090909090912E-2</v>
      </c>
      <c r="U17" s="142" t="str">
        <f>IFERROR(IF(U18="","",U18/ORÇAMENTO!$G$35),"")</f>
        <v/>
      </c>
      <c r="V17" s="142" t="str">
        <f>IFERROR(IF(V18="","",V18/ORÇAMENTO!$G$35),"")</f>
        <v/>
      </c>
      <c r="W17" s="142" t="str">
        <f>IFERROR(IF(W18="","",W18/ORÇAMENTO!$G$35),"")</f>
        <v/>
      </c>
      <c r="X17" s="142" t="str">
        <f>IFERROR(IF(X18="","",X18/ORÇAMENTO!$G$35),"")</f>
        <v/>
      </c>
      <c r="Y17" s="124">
        <f t="shared" si="2"/>
        <v>1.0000000000000002</v>
      </c>
    </row>
    <row r="18" spans="1:25" ht="14.25" customHeight="1" x14ac:dyDescent="0.2">
      <c r="A18" s="11" t="s">
        <v>195</v>
      </c>
      <c r="B18" s="81"/>
      <c r="C18" s="81" t="s">
        <v>288</v>
      </c>
      <c r="D18" s="147"/>
      <c r="E18" s="164"/>
      <c r="F18" s="165"/>
      <c r="G18" s="165"/>
      <c r="H18" s="149"/>
      <c r="I18" s="149"/>
      <c r="J18" s="149">
        <f>ORÇAMENTO!$G$35/11</f>
        <v>763.63636363636363</v>
      </c>
      <c r="K18" s="149">
        <f>ORÇAMENTO!$G$35/11</f>
        <v>763.63636363636363</v>
      </c>
      <c r="L18" s="149">
        <f>ORÇAMENTO!$G$35/11</f>
        <v>763.63636363636363</v>
      </c>
      <c r="M18" s="149">
        <f>ORÇAMENTO!$G$35/11</f>
        <v>763.63636363636363</v>
      </c>
      <c r="N18" s="149">
        <f>ORÇAMENTO!$G$35/11</f>
        <v>763.63636363636363</v>
      </c>
      <c r="O18" s="149">
        <f>ORÇAMENTO!$G$35/11</f>
        <v>763.63636363636363</v>
      </c>
      <c r="P18" s="149">
        <f>ORÇAMENTO!$G$35/11</f>
        <v>763.63636363636363</v>
      </c>
      <c r="Q18" s="149">
        <f>ORÇAMENTO!$G$35/11</f>
        <v>763.63636363636363</v>
      </c>
      <c r="R18" s="149">
        <f>ORÇAMENTO!$G$35/11</f>
        <v>763.63636363636363</v>
      </c>
      <c r="S18" s="149">
        <f>ORÇAMENTO!$G$35/11</f>
        <v>763.63636363636363</v>
      </c>
      <c r="T18" s="149">
        <f>ORÇAMENTO!$G$35/11</f>
        <v>763.63636363636363</v>
      </c>
      <c r="U18" s="149"/>
      <c r="V18" s="149"/>
      <c r="W18" s="149"/>
      <c r="X18" s="149"/>
      <c r="Y18" s="125">
        <f t="shared" si="2"/>
        <v>8400.0000000000018</v>
      </c>
    </row>
    <row r="19" spans="1:25" ht="14.25" customHeight="1" x14ac:dyDescent="0.2">
      <c r="A19" s="11" t="s">
        <v>194</v>
      </c>
      <c r="B19" s="122" t="s">
        <v>7</v>
      </c>
      <c r="C19" s="129" t="str">
        <f>VLOOKUP(B19,ORÇAMENTO!B17:G93,2,0)</f>
        <v xml:space="preserve">TRANSPORTE </v>
      </c>
      <c r="D19" s="129"/>
      <c r="E19" s="163"/>
      <c r="F19" s="165"/>
      <c r="G19" s="165"/>
      <c r="H19" s="150" t="str">
        <f>IFERROR(IF(H20="","",H20/ORÇAMENTO!$G$37),"")</f>
        <v/>
      </c>
      <c r="I19" s="150" t="str">
        <f>IFERROR(IF(I20="","",I20/ORÇAMENTO!$G$37),"")</f>
        <v/>
      </c>
      <c r="J19" s="150">
        <f>IFERROR(IF(J20="","",J20/ORÇAMENTO!$G$37),"")</f>
        <v>9.0909090909090912E-2</v>
      </c>
      <c r="K19" s="150">
        <f>IFERROR(IF(K20="","",K20/ORÇAMENTO!$G$37),"")</f>
        <v>9.0909090909090912E-2</v>
      </c>
      <c r="L19" s="150">
        <f>IFERROR(IF(L20="","",L20/ORÇAMENTO!$G$37),"")</f>
        <v>9.0909090909090912E-2</v>
      </c>
      <c r="M19" s="150">
        <f>IFERROR(IF(M20="","",M20/ORÇAMENTO!$G$37),"")</f>
        <v>9.0909090909090912E-2</v>
      </c>
      <c r="N19" s="150">
        <f>IFERROR(IF(N20="","",N20/ORÇAMENTO!$G$37),"")</f>
        <v>9.0909090909090912E-2</v>
      </c>
      <c r="O19" s="150">
        <f>IFERROR(IF(O20="","",O20/ORÇAMENTO!$G$37),"")</f>
        <v>9.0909090909090912E-2</v>
      </c>
      <c r="P19" s="150">
        <f>IFERROR(IF(P20="","",P20/ORÇAMENTO!$G$37),"")</f>
        <v>9.0909090909090912E-2</v>
      </c>
      <c r="Q19" s="150">
        <f>IFERROR(IF(Q20="","",Q20/ORÇAMENTO!$G$37),"")</f>
        <v>9.0909090909090912E-2</v>
      </c>
      <c r="R19" s="150">
        <f>IFERROR(IF(R20="","",R20/ORÇAMENTO!$G$37),"")</f>
        <v>9.0909090909090912E-2</v>
      </c>
      <c r="S19" s="150">
        <f>IFERROR(IF(S20="","",S20/ORÇAMENTO!$G$37),"")</f>
        <v>9.0909090909090912E-2</v>
      </c>
      <c r="T19" s="150">
        <f>IFERROR(IF(T20="","",T20/ORÇAMENTO!$G$37),"")</f>
        <v>9.0909090909090912E-2</v>
      </c>
      <c r="U19" s="150" t="str">
        <f>IFERROR(IF(U20="","",U20/ORÇAMENTO!$G$37),"")</f>
        <v/>
      </c>
      <c r="V19" s="150" t="str">
        <f>IFERROR(IF(V20="","",V20/ORÇAMENTO!$G$37),"")</f>
        <v/>
      </c>
      <c r="W19" s="150" t="str">
        <f>IFERROR(IF(W20="","",W20/ORÇAMENTO!$G$37),"")</f>
        <v/>
      </c>
      <c r="X19" s="150" t="str">
        <f>IFERROR(IF(X20="","",X20/ORÇAMENTO!$G$37),"")</f>
        <v/>
      </c>
      <c r="Y19" s="124">
        <f t="shared" si="2"/>
        <v>1.0000000000000002</v>
      </c>
    </row>
    <row r="20" spans="1:25" ht="14.25" customHeight="1" x14ac:dyDescent="0.2">
      <c r="A20" s="11" t="s">
        <v>195</v>
      </c>
      <c r="B20" s="81"/>
      <c r="C20" s="81" t="s">
        <v>288</v>
      </c>
      <c r="D20" s="147"/>
      <c r="E20" s="164"/>
      <c r="F20" s="165"/>
      <c r="G20" s="165"/>
      <c r="H20" s="149"/>
      <c r="I20" s="149"/>
      <c r="J20" s="149">
        <f>ORÇAMENTO!$G$37/11</f>
        <v>232.72727272727272</v>
      </c>
      <c r="K20" s="149">
        <f>ORÇAMENTO!$G$37/11</f>
        <v>232.72727272727272</v>
      </c>
      <c r="L20" s="149">
        <f>ORÇAMENTO!$G$37/11</f>
        <v>232.72727272727272</v>
      </c>
      <c r="M20" s="149">
        <f>ORÇAMENTO!$G$37/11</f>
        <v>232.72727272727272</v>
      </c>
      <c r="N20" s="149">
        <f>ORÇAMENTO!$G$37/11</f>
        <v>232.72727272727272</v>
      </c>
      <c r="O20" s="149">
        <f>ORÇAMENTO!$G$37/11</f>
        <v>232.72727272727272</v>
      </c>
      <c r="P20" s="149">
        <f>ORÇAMENTO!$G$37/11</f>
        <v>232.72727272727272</v>
      </c>
      <c r="Q20" s="149">
        <f>ORÇAMENTO!$G$37/11</f>
        <v>232.72727272727272</v>
      </c>
      <c r="R20" s="149">
        <f>ORÇAMENTO!$G$37/11</f>
        <v>232.72727272727272</v>
      </c>
      <c r="S20" s="149">
        <f>ORÇAMENTO!$G$37/11</f>
        <v>232.72727272727272</v>
      </c>
      <c r="T20" s="149">
        <f>ORÇAMENTO!$G$37/11</f>
        <v>232.72727272727272</v>
      </c>
      <c r="U20" s="149"/>
      <c r="V20" s="149"/>
      <c r="W20" s="149"/>
      <c r="X20" s="149"/>
      <c r="Y20" s="125">
        <f t="shared" si="2"/>
        <v>2559.9999999999995</v>
      </c>
    </row>
    <row r="21" spans="1:25" ht="14.25" customHeight="1" x14ac:dyDescent="0.2">
      <c r="A21" s="11" t="s">
        <v>194</v>
      </c>
      <c r="B21" s="122" t="s">
        <v>8</v>
      </c>
      <c r="C21" s="122" t="str">
        <f>VLOOKUP(B21,ORÇAMENTO!B19:G95,2,0)</f>
        <v>MOVIMENTO DE TERRA</v>
      </c>
      <c r="D21" s="122"/>
      <c r="E21" s="163"/>
      <c r="F21" s="165"/>
      <c r="G21" s="165"/>
      <c r="H21" s="150" t="str">
        <f>IFERROR(IF(H22="","",H22/ORÇAMENTO!$G$39),"")</f>
        <v/>
      </c>
      <c r="I21" s="150" t="str">
        <f>IFERROR(IF(I22="","",I22/ORÇAMENTO!$G$39),"")</f>
        <v/>
      </c>
      <c r="J21" s="150">
        <f>IFERROR(IF(J22="","",J22/ORÇAMENTO!$G$39),"")</f>
        <v>0.73813642008160374</v>
      </c>
      <c r="K21" s="150">
        <f>IFERROR(IF(K22="","",K22/ORÇAMENTO!$G$39),"")</f>
        <v>3.7409082845485185E-2</v>
      </c>
      <c r="L21" s="150">
        <f>IFERROR(IF(L22="","",L22/ORÇAMENTO!$G$39),"")</f>
        <v>3.7409082845485185E-2</v>
      </c>
      <c r="M21" s="150">
        <f>IFERROR(IF(M22="","",M22/ORÇAMENTO!$G$39),"")</f>
        <v>3.7409082845485185E-2</v>
      </c>
      <c r="N21" s="150">
        <f>IFERROR(IF(N22="","",N22/ORÇAMENTO!$G$39),"")</f>
        <v>3.7409082845485185E-2</v>
      </c>
      <c r="O21" s="150">
        <f>IFERROR(IF(O22="","",O22/ORÇAMENTO!$G$39),"")</f>
        <v>3.7409082845485185E-2</v>
      </c>
      <c r="P21" s="150">
        <f>IFERROR(IF(P22="","",P22/ORÇAMENTO!$G$39),"")</f>
        <v>3.7409082845485185E-2</v>
      </c>
      <c r="Q21" s="150">
        <f>IFERROR(IF(Q22="","",Q22/ORÇAMENTO!$G$39),"")</f>
        <v>3.7409082845485185E-2</v>
      </c>
      <c r="R21" s="150" t="str">
        <f>IFERROR(IF(R22="","",R22/ORÇAMENTO!$G$39),"")</f>
        <v/>
      </c>
      <c r="S21" s="150" t="str">
        <f>IFERROR(IF(S22="","",S22/ORÇAMENTO!$G$39),"")</f>
        <v/>
      </c>
      <c r="T21" s="150" t="str">
        <f>IFERROR(IF(T22="","",T22/ORÇAMENTO!$G$39),"")</f>
        <v/>
      </c>
      <c r="U21" s="150" t="str">
        <f>IFERROR(IF(U22="","",U22/ORÇAMENTO!$G$39),"")</f>
        <v/>
      </c>
      <c r="V21" s="150" t="str">
        <f>IFERROR(IF(V22="","",V22/ORÇAMENTO!$G$39),"")</f>
        <v/>
      </c>
      <c r="W21" s="150" t="str">
        <f>IFERROR(IF(W22="","",W22/ORÇAMENTO!$G$39),"")</f>
        <v/>
      </c>
      <c r="X21" s="150" t="str">
        <f>IFERROR(IF(X22="","",X22/ORÇAMENTO!$G$39),"")</f>
        <v/>
      </c>
      <c r="Y21" s="124">
        <f t="shared" si="2"/>
        <v>0.99999999999999989</v>
      </c>
    </row>
    <row r="22" spans="1:25" ht="14.25" customHeight="1" x14ac:dyDescent="0.2">
      <c r="A22" s="11" t="s">
        <v>195</v>
      </c>
      <c r="B22" s="81"/>
      <c r="C22" s="81" t="s">
        <v>292</v>
      </c>
      <c r="D22" s="147"/>
      <c r="E22" s="164"/>
      <c r="F22" s="165"/>
      <c r="G22" s="165"/>
      <c r="H22" s="149"/>
      <c r="I22" s="149"/>
      <c r="J22" s="149">
        <f>ORÇAMENTO!G42+ORÇAMENTO!G41+K22</f>
        <v>2080.4375</v>
      </c>
      <c r="K22" s="149">
        <f>ORÇAMENTO!$G$40/8</f>
        <v>105.4375</v>
      </c>
      <c r="L22" s="149">
        <f>ORÇAMENTO!$G$40/8</f>
        <v>105.4375</v>
      </c>
      <c r="M22" s="149">
        <f>ORÇAMENTO!$G$40/8</f>
        <v>105.4375</v>
      </c>
      <c r="N22" s="149">
        <f>ORÇAMENTO!$G$40/8</f>
        <v>105.4375</v>
      </c>
      <c r="O22" s="149">
        <f>ORÇAMENTO!$G$40/8</f>
        <v>105.4375</v>
      </c>
      <c r="P22" s="149">
        <f>ORÇAMENTO!$G$40/8</f>
        <v>105.4375</v>
      </c>
      <c r="Q22" s="149">
        <f>ORÇAMENTO!$G$40/8</f>
        <v>105.4375</v>
      </c>
      <c r="R22" s="149"/>
      <c r="S22" s="149"/>
      <c r="T22" s="149"/>
      <c r="U22" s="149"/>
      <c r="V22" s="149"/>
      <c r="W22" s="149"/>
      <c r="X22" s="149"/>
      <c r="Y22" s="125">
        <f t="shared" si="2"/>
        <v>2818.5</v>
      </c>
    </row>
    <row r="23" spans="1:25" ht="14.25" customHeight="1" x14ac:dyDescent="0.2">
      <c r="A23" s="11" t="s">
        <v>194</v>
      </c>
      <c r="B23" s="122" t="s">
        <v>9</v>
      </c>
      <c r="C23" s="129" t="str">
        <f>VLOOKUP(B23,ORÇAMENTO!B22:G99,2,0)</f>
        <v>FUNDAÇÃO</v>
      </c>
      <c r="D23" s="129"/>
      <c r="E23" s="163"/>
      <c r="F23" s="165"/>
      <c r="G23" s="165"/>
      <c r="H23" s="150"/>
      <c r="I23" s="150">
        <f>I24/ORÇAMENTO!G43</f>
        <v>0.5</v>
      </c>
      <c r="J23" s="150">
        <f>J24/ORÇAMENTO!G43</f>
        <v>0.5</v>
      </c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24">
        <f t="shared" si="2"/>
        <v>1</v>
      </c>
    </row>
    <row r="24" spans="1:25" ht="14.25" customHeight="1" x14ac:dyDescent="0.2">
      <c r="A24" s="11" t="s">
        <v>195</v>
      </c>
      <c r="B24" s="81"/>
      <c r="C24" s="81" t="s">
        <v>286</v>
      </c>
      <c r="D24" s="147"/>
      <c r="E24" s="164"/>
      <c r="F24" s="165"/>
      <c r="G24" s="165"/>
      <c r="H24" s="149"/>
      <c r="I24" s="149">
        <f>ORÇAMENTO!G43/2</f>
        <v>14275</v>
      </c>
      <c r="J24" s="149">
        <f>ORÇAMENTO!G43/2</f>
        <v>14275</v>
      </c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25">
        <f t="shared" si="2"/>
        <v>28550</v>
      </c>
    </row>
    <row r="25" spans="1:25" ht="14.25" customHeight="1" x14ac:dyDescent="0.2">
      <c r="A25" s="11" t="s">
        <v>194</v>
      </c>
      <c r="B25" s="122" t="s">
        <v>10</v>
      </c>
      <c r="C25" s="122" t="str">
        <f>VLOOKUP(B25,ORÇAMENTO!B24:G101,2,0)</f>
        <v>ESTRUTURA</v>
      </c>
      <c r="D25" s="122"/>
      <c r="E25" s="163"/>
      <c r="F25" s="165"/>
      <c r="G25" s="165"/>
      <c r="H25" s="150"/>
      <c r="I25" s="150"/>
      <c r="J25" s="150"/>
      <c r="K25" s="150">
        <f>K26/ORÇAMENTO!$G$47</f>
        <v>0.11111111111111112</v>
      </c>
      <c r="L25" s="150">
        <f>L26/ORÇAMENTO!$G$47</f>
        <v>0.11111111111111112</v>
      </c>
      <c r="M25" s="150">
        <f>M26/ORÇAMENTO!$G$47</f>
        <v>0.11111111111111112</v>
      </c>
      <c r="N25" s="150">
        <f>N26/ORÇAMENTO!$G$47</f>
        <v>0.11111111111111112</v>
      </c>
      <c r="O25" s="150">
        <f>O26/ORÇAMENTO!$G$47</f>
        <v>0.11111111111111112</v>
      </c>
      <c r="P25" s="150">
        <f>P26/ORÇAMENTO!$G$47</f>
        <v>0.11111111111111112</v>
      </c>
      <c r="Q25" s="150">
        <f>Q26/ORÇAMENTO!$G$47</f>
        <v>0.11111111111111112</v>
      </c>
      <c r="R25" s="150">
        <f>R26/ORÇAMENTO!$G$47</f>
        <v>0.11111111111111112</v>
      </c>
      <c r="S25" s="150">
        <f>S26/ORÇAMENTO!$G$47</f>
        <v>0.11111111111111112</v>
      </c>
      <c r="T25" s="150"/>
      <c r="U25" s="150"/>
      <c r="V25" s="150"/>
      <c r="W25" s="150"/>
      <c r="X25" s="150"/>
      <c r="Y25" s="124">
        <f t="shared" si="2"/>
        <v>1.0000000000000002</v>
      </c>
    </row>
    <row r="26" spans="1:25" ht="14.25" customHeight="1" x14ac:dyDescent="0.2">
      <c r="A26" s="11" t="s">
        <v>195</v>
      </c>
      <c r="B26" s="81"/>
      <c r="C26" s="81" t="s">
        <v>293</v>
      </c>
      <c r="D26" s="147"/>
      <c r="E26" s="164"/>
      <c r="F26" s="165"/>
      <c r="G26" s="165"/>
      <c r="H26" s="149"/>
      <c r="I26" s="149"/>
      <c r="J26" s="149"/>
      <c r="K26" s="149">
        <f>ORÇAMENTO!$G$47/9</f>
        <v>88055.555555555562</v>
      </c>
      <c r="L26" s="149">
        <f>ORÇAMENTO!$G$47/9</f>
        <v>88055.555555555562</v>
      </c>
      <c r="M26" s="149">
        <f>ORÇAMENTO!$G$47/9</f>
        <v>88055.555555555562</v>
      </c>
      <c r="N26" s="149">
        <f>ORÇAMENTO!$G$47/9</f>
        <v>88055.555555555562</v>
      </c>
      <c r="O26" s="149">
        <f>ORÇAMENTO!$G$47/9</f>
        <v>88055.555555555562</v>
      </c>
      <c r="P26" s="149">
        <f>ORÇAMENTO!$G$47/9</f>
        <v>88055.555555555562</v>
      </c>
      <c r="Q26" s="149">
        <f>ORÇAMENTO!$G$47/9</f>
        <v>88055.555555555562</v>
      </c>
      <c r="R26" s="149">
        <f>ORÇAMENTO!$G$47/9</f>
        <v>88055.555555555562</v>
      </c>
      <c r="S26" s="149">
        <f>ORÇAMENTO!$G$47/9</f>
        <v>88055.555555555562</v>
      </c>
      <c r="T26" s="149"/>
      <c r="U26" s="149"/>
      <c r="V26" s="149"/>
      <c r="W26" s="149"/>
      <c r="X26" s="149"/>
      <c r="Y26" s="125">
        <f t="shared" si="2"/>
        <v>792500</v>
      </c>
    </row>
    <row r="27" spans="1:25" ht="14.25" customHeight="1" x14ac:dyDescent="0.2">
      <c r="A27" s="11" t="s">
        <v>194</v>
      </c>
      <c r="B27" s="122" t="s">
        <v>12</v>
      </c>
      <c r="C27" s="129" t="str">
        <f>VLOOKUP(B27,ORÇAMENTO!B26:G103,2,0)</f>
        <v>ALVENARIA</v>
      </c>
      <c r="D27" s="129"/>
      <c r="E27" s="163"/>
      <c r="F27" s="165"/>
      <c r="G27" s="165"/>
      <c r="H27" s="150"/>
      <c r="I27" s="150"/>
      <c r="J27" s="150"/>
      <c r="K27" s="151"/>
      <c r="L27" s="150">
        <f>L28/ORÇAMENTO!$G$51</f>
        <v>0.125</v>
      </c>
      <c r="M27" s="150">
        <f>M28/ORÇAMENTO!$G$51</f>
        <v>0.125</v>
      </c>
      <c r="N27" s="150">
        <f>N28/ORÇAMENTO!$G$51</f>
        <v>0.125</v>
      </c>
      <c r="O27" s="150">
        <f>O28/ORÇAMENTO!$G$51</f>
        <v>0.125</v>
      </c>
      <c r="P27" s="150">
        <f>P28/ORÇAMENTO!$G$51</f>
        <v>0.125</v>
      </c>
      <c r="Q27" s="150">
        <f>Q28/ORÇAMENTO!$G$51</f>
        <v>0.125</v>
      </c>
      <c r="R27" s="150">
        <f>R28/ORÇAMENTO!$G$51</f>
        <v>0.125</v>
      </c>
      <c r="S27" s="150">
        <f>S28/ORÇAMENTO!$G$51</f>
        <v>0.125</v>
      </c>
      <c r="T27" s="150"/>
      <c r="U27" s="150"/>
      <c r="V27" s="150"/>
      <c r="W27" s="150"/>
      <c r="X27" s="150"/>
      <c r="Y27" s="124">
        <f t="shared" si="2"/>
        <v>1</v>
      </c>
    </row>
    <row r="28" spans="1:25" ht="14.25" customHeight="1" x14ac:dyDescent="0.2">
      <c r="A28" s="11" t="s">
        <v>195</v>
      </c>
      <c r="B28" s="81"/>
      <c r="C28" s="81" t="s">
        <v>292</v>
      </c>
      <c r="D28" s="81"/>
      <c r="E28" s="164"/>
      <c r="F28" s="165"/>
      <c r="G28" s="165"/>
      <c r="H28" s="149"/>
      <c r="I28" s="149"/>
      <c r="J28" s="149"/>
      <c r="K28" s="149"/>
      <c r="L28" s="149">
        <f>ORÇAMENTO!$G$51/8</f>
        <v>11562.5</v>
      </c>
      <c r="M28" s="149">
        <f>ORÇAMENTO!$G$51/8</f>
        <v>11562.5</v>
      </c>
      <c r="N28" s="149">
        <f>ORÇAMENTO!$G$51/8</f>
        <v>11562.5</v>
      </c>
      <c r="O28" s="149">
        <f>ORÇAMENTO!$G$51/8</f>
        <v>11562.5</v>
      </c>
      <c r="P28" s="149">
        <f>ORÇAMENTO!$G$51/8</f>
        <v>11562.5</v>
      </c>
      <c r="Q28" s="149">
        <f>ORÇAMENTO!$G$51/8</f>
        <v>11562.5</v>
      </c>
      <c r="R28" s="149">
        <f>ORÇAMENTO!$G$51/8</f>
        <v>11562.5</v>
      </c>
      <c r="S28" s="149">
        <f>ORÇAMENTO!$G$51/8</f>
        <v>11562.5</v>
      </c>
      <c r="T28" s="149"/>
      <c r="U28" s="149"/>
      <c r="V28" s="149"/>
      <c r="W28" s="149"/>
      <c r="X28" s="149"/>
      <c r="Y28" s="125">
        <f t="shared" si="2"/>
        <v>92500</v>
      </c>
    </row>
    <row r="29" spans="1:25" ht="14.25" customHeight="1" x14ac:dyDescent="0.2">
      <c r="A29" s="11" t="s">
        <v>194</v>
      </c>
      <c r="B29" s="122" t="s">
        <v>13</v>
      </c>
      <c r="C29" s="122" t="s">
        <v>278</v>
      </c>
      <c r="D29" s="122"/>
      <c r="E29" s="163"/>
      <c r="F29" s="165"/>
      <c r="G29" s="165"/>
      <c r="H29" s="150"/>
      <c r="I29" s="150"/>
      <c r="J29" s="150"/>
      <c r="K29" s="150"/>
      <c r="L29" s="150"/>
      <c r="M29" s="151"/>
      <c r="N29" s="150"/>
      <c r="O29" s="150"/>
      <c r="P29" s="150"/>
      <c r="Q29" s="150"/>
      <c r="R29" s="150"/>
      <c r="S29" s="150">
        <f>S30/ORÇAMENTO!G53</f>
        <v>1</v>
      </c>
      <c r="T29" s="150"/>
      <c r="U29" s="150"/>
      <c r="V29" s="150"/>
      <c r="W29" s="150"/>
      <c r="X29" s="150"/>
      <c r="Y29" s="124">
        <f t="shared" si="2"/>
        <v>1</v>
      </c>
    </row>
    <row r="30" spans="1:25" ht="14.25" customHeight="1" x14ac:dyDescent="0.2">
      <c r="A30" s="11" t="s">
        <v>195</v>
      </c>
      <c r="B30" s="81"/>
      <c r="C30" s="81" t="s">
        <v>294</v>
      </c>
      <c r="D30" s="81"/>
      <c r="E30" s="164"/>
      <c r="F30" s="165"/>
      <c r="G30" s="165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>
        <f>ORÇAMENTO!G53</f>
        <v>62000</v>
      </c>
      <c r="T30" s="149"/>
      <c r="U30" s="149"/>
      <c r="V30" s="149"/>
      <c r="W30" s="149"/>
      <c r="X30" s="149"/>
      <c r="Y30" s="125">
        <f t="shared" si="2"/>
        <v>62000</v>
      </c>
    </row>
    <row r="31" spans="1:25" ht="14.25" customHeight="1" x14ac:dyDescent="0.2">
      <c r="A31" s="11" t="s">
        <v>194</v>
      </c>
      <c r="B31" s="122" t="s">
        <v>14</v>
      </c>
      <c r="C31" s="122" t="str">
        <f>VLOOKUP(B31,ORÇAMENTO!B28:G107,2,0)</f>
        <v>IMPERMEABILIZAÇÃO</v>
      </c>
      <c r="D31" s="122"/>
      <c r="E31" s="163"/>
      <c r="F31" s="165"/>
      <c r="G31" s="165"/>
      <c r="H31" s="150"/>
      <c r="I31" s="150"/>
      <c r="J31" s="150"/>
      <c r="K31" s="150"/>
      <c r="L31" s="151"/>
      <c r="M31" s="150"/>
      <c r="N31" s="150"/>
      <c r="O31" s="150"/>
      <c r="P31" s="150">
        <f>P32/ORÇAMENTO!$G$55</f>
        <v>0.25</v>
      </c>
      <c r="Q31" s="150">
        <f>Q32/ORÇAMENTO!$G$55</f>
        <v>0.25</v>
      </c>
      <c r="R31" s="150">
        <f>R32/ORÇAMENTO!$G$55</f>
        <v>0.25</v>
      </c>
      <c r="S31" s="150">
        <f>S32/ORÇAMENTO!$G$55</f>
        <v>0.25</v>
      </c>
      <c r="T31" s="150"/>
      <c r="U31" s="150"/>
      <c r="V31" s="150"/>
      <c r="W31" s="150"/>
      <c r="X31" s="150"/>
      <c r="Y31" s="124">
        <f t="shared" si="2"/>
        <v>1</v>
      </c>
    </row>
    <row r="32" spans="1:25" ht="14.25" customHeight="1" x14ac:dyDescent="0.2">
      <c r="A32" s="11" t="s">
        <v>195</v>
      </c>
      <c r="B32" s="81"/>
      <c r="C32" s="81" t="s">
        <v>295</v>
      </c>
      <c r="D32" s="81"/>
      <c r="E32" s="164"/>
      <c r="F32" s="165"/>
      <c r="G32" s="165"/>
      <c r="H32" s="149"/>
      <c r="I32" s="149"/>
      <c r="J32" s="149"/>
      <c r="K32" s="149"/>
      <c r="L32" s="149"/>
      <c r="M32" s="149"/>
      <c r="N32" s="149"/>
      <c r="O32" s="149"/>
      <c r="P32" s="149">
        <f>ORÇAMENTO!$G$55/4</f>
        <v>4298</v>
      </c>
      <c r="Q32" s="149">
        <f>ORÇAMENTO!$G$55/4</f>
        <v>4298</v>
      </c>
      <c r="R32" s="149">
        <f>ORÇAMENTO!$G$55/4</f>
        <v>4298</v>
      </c>
      <c r="S32" s="149">
        <f>ORÇAMENTO!$G$55/4</f>
        <v>4298</v>
      </c>
      <c r="T32" s="149"/>
      <c r="U32" s="149"/>
      <c r="V32" s="149"/>
      <c r="W32" s="149"/>
      <c r="X32" s="149"/>
      <c r="Y32" s="125">
        <f t="shared" si="2"/>
        <v>17192</v>
      </c>
    </row>
    <row r="33" spans="1:26" ht="14.25" customHeight="1" x14ac:dyDescent="0.2">
      <c r="A33" s="11" t="s">
        <v>194</v>
      </c>
      <c r="B33" s="122" t="s">
        <v>16</v>
      </c>
      <c r="C33" s="129" t="str">
        <f>VLOOKUP(B33,ORÇAMENTO!B30:G111,2,0)</f>
        <v>FORRO E SANCA EM GESSO</v>
      </c>
      <c r="D33" s="129"/>
      <c r="E33" s="163"/>
      <c r="F33" s="165"/>
      <c r="G33" s="165"/>
      <c r="H33" s="150"/>
      <c r="I33" s="150"/>
      <c r="J33" s="150"/>
      <c r="K33" s="150"/>
      <c r="L33" s="150"/>
      <c r="M33" s="150">
        <f>M34/ORÇAMENTO!$G$57</f>
        <v>0.33333333333333331</v>
      </c>
      <c r="N33" s="150">
        <f>N34/ORÇAMENTO!$G$57</f>
        <v>0.33333333333333331</v>
      </c>
      <c r="O33" s="150">
        <f>O34/ORÇAMENTO!$G$57</f>
        <v>0.33333333333333331</v>
      </c>
      <c r="P33" s="150"/>
      <c r="Q33" s="150"/>
      <c r="R33" s="150"/>
      <c r="S33" s="150"/>
      <c r="T33" s="150"/>
      <c r="U33" s="150"/>
      <c r="V33" s="150"/>
      <c r="W33" s="150"/>
      <c r="X33" s="150"/>
      <c r="Y33" s="124">
        <f t="shared" si="2"/>
        <v>1</v>
      </c>
    </row>
    <row r="34" spans="1:26" ht="14.25" customHeight="1" x14ac:dyDescent="0.2">
      <c r="A34" s="11" t="s">
        <v>195</v>
      </c>
      <c r="B34" s="81"/>
      <c r="C34" s="81" t="s">
        <v>287</v>
      </c>
      <c r="D34" s="81"/>
      <c r="E34" s="164"/>
      <c r="F34" s="165"/>
      <c r="G34" s="165"/>
      <c r="H34" s="149"/>
      <c r="I34" s="149"/>
      <c r="J34" s="149"/>
      <c r="K34" s="149"/>
      <c r="L34" s="149"/>
      <c r="M34" s="149">
        <f>ORÇAMENTO!$G$57/3</f>
        <v>6276</v>
      </c>
      <c r="N34" s="149">
        <f>ORÇAMENTO!$G$57/3</f>
        <v>6276</v>
      </c>
      <c r="O34" s="149">
        <f>ORÇAMENTO!$G$57/3</f>
        <v>6276</v>
      </c>
      <c r="P34" s="149"/>
      <c r="Q34" s="149"/>
      <c r="R34" s="149"/>
      <c r="S34" s="149"/>
      <c r="T34" s="149"/>
      <c r="U34" s="149"/>
      <c r="V34" s="149"/>
      <c r="W34" s="149"/>
      <c r="X34" s="149"/>
      <c r="Y34" s="125">
        <f t="shared" si="2"/>
        <v>18828</v>
      </c>
    </row>
    <row r="35" spans="1:26" ht="14.25" customHeight="1" x14ac:dyDescent="0.2">
      <c r="A35" s="11" t="s">
        <v>194</v>
      </c>
      <c r="B35" s="122" t="s">
        <v>17</v>
      </c>
      <c r="C35" s="122" t="str">
        <f>VLOOKUP(B35,ORÇAMENTO!B32:G113,2,0)</f>
        <v>PINTURA</v>
      </c>
      <c r="D35" s="122"/>
      <c r="E35" s="163"/>
      <c r="F35" s="165"/>
      <c r="G35" s="165"/>
      <c r="H35" s="150"/>
      <c r="I35" s="150"/>
      <c r="J35" s="150"/>
      <c r="K35" s="150"/>
      <c r="L35" s="150"/>
      <c r="M35" s="150">
        <f>M36/ORÇAMENTO!$G$59</f>
        <v>0.11111111111111112</v>
      </c>
      <c r="N35" s="150">
        <f>N36/ORÇAMENTO!$G$59</f>
        <v>0.11111111111111112</v>
      </c>
      <c r="O35" s="150">
        <f>O36/ORÇAMENTO!$G$59</f>
        <v>0.11111111111111112</v>
      </c>
      <c r="P35" s="150">
        <f>P36/ORÇAMENTO!$G$59</f>
        <v>0.11111111111111112</v>
      </c>
      <c r="Q35" s="150">
        <f>Q36/ORÇAMENTO!$G$59</f>
        <v>0.11111111111111112</v>
      </c>
      <c r="R35" s="150">
        <f>R36/ORÇAMENTO!$G$59</f>
        <v>0.11111111111111112</v>
      </c>
      <c r="S35" s="150">
        <f>S36/ORÇAMENTO!$G$59</f>
        <v>0.11111111111111112</v>
      </c>
      <c r="T35" s="150">
        <f>T36/ORÇAMENTO!$G$59</f>
        <v>0.11111111111111112</v>
      </c>
      <c r="U35" s="150">
        <f>U36/ORÇAMENTO!$G$59</f>
        <v>0.11111111111111112</v>
      </c>
      <c r="V35" s="150"/>
      <c r="W35" s="150"/>
      <c r="X35" s="150"/>
      <c r="Y35" s="124">
        <f t="shared" si="2"/>
        <v>1.0000000000000002</v>
      </c>
    </row>
    <row r="36" spans="1:26" ht="14.25" customHeight="1" x14ac:dyDescent="0.2">
      <c r="A36" s="11" t="s">
        <v>195</v>
      </c>
      <c r="B36" s="81"/>
      <c r="C36" s="81" t="s">
        <v>293</v>
      </c>
      <c r="D36" s="81"/>
      <c r="E36" s="164"/>
      <c r="F36" s="165"/>
      <c r="G36" s="165"/>
      <c r="H36" s="149"/>
      <c r="I36" s="149"/>
      <c r="J36" s="149"/>
      <c r="K36" s="149"/>
      <c r="L36" s="149"/>
      <c r="M36" s="149">
        <f>ORÇAMENTO!$G$59/9</f>
        <v>4612.2222222222226</v>
      </c>
      <c r="N36" s="149">
        <f>ORÇAMENTO!$G$59/9</f>
        <v>4612.2222222222226</v>
      </c>
      <c r="O36" s="149">
        <f>ORÇAMENTO!$G$59/9</f>
        <v>4612.2222222222226</v>
      </c>
      <c r="P36" s="149">
        <f>ORÇAMENTO!$G$59/9</f>
        <v>4612.2222222222226</v>
      </c>
      <c r="Q36" s="149">
        <f>ORÇAMENTO!$G$59/9</f>
        <v>4612.2222222222226</v>
      </c>
      <c r="R36" s="149">
        <f>ORÇAMENTO!$G$59/9</f>
        <v>4612.2222222222226</v>
      </c>
      <c r="S36" s="149">
        <f>ORÇAMENTO!$G$59/9</f>
        <v>4612.2222222222226</v>
      </c>
      <c r="T36" s="149">
        <f>ORÇAMENTO!$G$59/9</f>
        <v>4612.2222222222226</v>
      </c>
      <c r="U36" s="149">
        <f>ORÇAMENTO!$G$59/9</f>
        <v>4612.2222222222226</v>
      </c>
      <c r="V36" s="149"/>
      <c r="W36" s="149"/>
      <c r="X36" s="149"/>
      <c r="Y36" s="125">
        <f t="shared" si="2"/>
        <v>41510</v>
      </c>
    </row>
    <row r="37" spans="1:26" ht="14.25" customHeight="1" x14ac:dyDescent="0.2">
      <c r="A37" s="11" t="s">
        <v>194</v>
      </c>
      <c r="B37" s="122" t="s">
        <v>20</v>
      </c>
      <c r="C37" s="122" t="str">
        <f>VLOOKUP(B37,ORÇAMENTO!B40:G121,2,0)</f>
        <v>INSTALAÇÕES PREDIAIS</v>
      </c>
      <c r="D37" s="122"/>
      <c r="E37" s="163"/>
      <c r="F37" s="165"/>
      <c r="G37" s="165"/>
      <c r="H37" s="150"/>
      <c r="I37" s="150"/>
      <c r="J37" s="150"/>
      <c r="K37" s="150"/>
      <c r="L37" s="150">
        <f>L38/ORÇAMENTO!$G$62</f>
        <v>0.25</v>
      </c>
      <c r="M37" s="150">
        <f>M38/ORÇAMENTO!$G$62</f>
        <v>0.25</v>
      </c>
      <c r="N37" s="150">
        <f>N38/ORÇAMENTO!$G$62</f>
        <v>0.25</v>
      </c>
      <c r="O37" s="150">
        <f>O38/ORÇAMENTO!$G$62</f>
        <v>0.25</v>
      </c>
      <c r="P37" s="150"/>
      <c r="Q37" s="150"/>
      <c r="R37" s="150"/>
      <c r="S37" s="150"/>
      <c r="T37" s="150"/>
      <c r="U37" s="150"/>
      <c r="V37" s="150"/>
      <c r="W37" s="150"/>
      <c r="X37" s="150"/>
      <c r="Y37" s="124">
        <f t="shared" si="2"/>
        <v>1</v>
      </c>
    </row>
    <row r="38" spans="1:26" ht="14.25" customHeight="1" x14ac:dyDescent="0.2">
      <c r="A38" s="11" t="s">
        <v>195</v>
      </c>
      <c r="B38" s="81"/>
      <c r="C38" s="81" t="s">
        <v>295</v>
      </c>
      <c r="D38" s="81"/>
      <c r="E38" s="164"/>
      <c r="F38" s="165"/>
      <c r="G38" s="165"/>
      <c r="H38" s="149"/>
      <c r="I38" s="149"/>
      <c r="J38" s="149"/>
      <c r="K38" s="149"/>
      <c r="L38" s="149">
        <f>ORÇAMENTO!$G$62/4</f>
        <v>220000</v>
      </c>
      <c r="M38" s="149">
        <f>ORÇAMENTO!$G$62/4</f>
        <v>220000</v>
      </c>
      <c r="N38" s="149">
        <f>ORÇAMENTO!$G$62/4</f>
        <v>220000</v>
      </c>
      <c r="O38" s="149">
        <f>ORÇAMENTO!$G$62/4</f>
        <v>220000</v>
      </c>
      <c r="P38" s="149"/>
      <c r="Q38" s="149"/>
      <c r="R38" s="149"/>
      <c r="S38" s="149"/>
      <c r="T38" s="149"/>
      <c r="U38" s="149"/>
      <c r="V38" s="149"/>
      <c r="W38" s="149"/>
      <c r="X38" s="149"/>
      <c r="Y38" s="125">
        <f t="shared" si="2"/>
        <v>880000</v>
      </c>
    </row>
    <row r="39" spans="1:26" ht="14.25" customHeight="1" x14ac:dyDescent="0.2">
      <c r="A39" s="11" t="s">
        <v>194</v>
      </c>
      <c r="B39" s="122" t="s">
        <v>296</v>
      </c>
      <c r="C39" s="129" t="str">
        <f>VLOOKUP(B39,ORÇAMENTO!B48:G129,2,0)</f>
        <v>ELEVADORES PROVISÓRIOS</v>
      </c>
      <c r="D39" s="129"/>
      <c r="E39" s="163"/>
      <c r="F39" s="165"/>
      <c r="G39" s="165"/>
      <c r="H39" s="150"/>
      <c r="I39" s="150"/>
      <c r="J39" s="150"/>
      <c r="K39" s="150"/>
      <c r="L39" s="150"/>
      <c r="M39" s="150"/>
      <c r="N39" s="150">
        <f>N40/ORÇAMENTO!G69</f>
        <v>1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24">
        <f t="shared" si="2"/>
        <v>1</v>
      </c>
    </row>
    <row r="40" spans="1:26" ht="14.25" customHeight="1" x14ac:dyDescent="0.2">
      <c r="A40" s="11" t="s">
        <v>195</v>
      </c>
      <c r="B40" s="81"/>
      <c r="C40" s="81" t="s">
        <v>300</v>
      </c>
      <c r="D40" s="81"/>
      <c r="E40" s="164"/>
      <c r="F40" s="165"/>
      <c r="G40" s="165"/>
      <c r="H40" s="149"/>
      <c r="I40" s="149"/>
      <c r="J40" s="149"/>
      <c r="K40" s="149"/>
      <c r="L40" s="149"/>
      <c r="M40" s="149"/>
      <c r="N40" s="149">
        <f>ORÇAMENTO!G69</f>
        <v>40000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25">
        <f t="shared" si="2"/>
        <v>40000</v>
      </c>
    </row>
    <row r="41" spans="1:26" ht="14.25" customHeight="1" x14ac:dyDescent="0.2">
      <c r="A41" s="11" t="s">
        <v>194</v>
      </c>
      <c r="B41" s="122" t="s">
        <v>22</v>
      </c>
      <c r="C41" s="122" t="str">
        <f>VLOOKUP(B41,ORÇAMENTO!B50:G131,2,0)</f>
        <v>SERVIÇOS COMPLEMENTARES</v>
      </c>
      <c r="D41" s="122"/>
      <c r="E41" s="163"/>
      <c r="F41" s="165"/>
      <c r="G41" s="165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>
        <f>V42/ORÇAMENTO!$G$71</f>
        <v>0.5</v>
      </c>
      <c r="W41" s="150">
        <f>W42/ORÇAMENTO!$G$71</f>
        <v>0.5</v>
      </c>
      <c r="X41" s="150"/>
      <c r="Y41" s="124">
        <f t="shared" si="2"/>
        <v>1</v>
      </c>
    </row>
    <row r="42" spans="1:26" ht="14.25" customHeight="1" x14ac:dyDescent="0.2">
      <c r="A42" s="11" t="s">
        <v>195</v>
      </c>
      <c r="B42" s="81"/>
      <c r="C42" s="81" t="s">
        <v>286</v>
      </c>
      <c r="D42" s="81"/>
      <c r="E42" s="164"/>
      <c r="F42" s="165"/>
      <c r="G42" s="165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>
        <f>ORÇAMENTO!$G$71/2</f>
        <v>12950</v>
      </c>
      <c r="W42" s="149">
        <f>ORÇAMENTO!$G$71/2</f>
        <v>12950</v>
      </c>
      <c r="X42" s="149"/>
      <c r="Y42" s="125">
        <f t="shared" si="2"/>
        <v>25900</v>
      </c>
    </row>
    <row r="43" spans="1:26" ht="7.5" customHeight="1" x14ac:dyDescent="0.2">
      <c r="A43" s="11"/>
      <c r="B43" s="9"/>
      <c r="C43" s="9"/>
      <c r="D43" s="9"/>
      <c r="E43" s="9"/>
      <c r="F43" s="9"/>
      <c r="G43" s="9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26"/>
    </row>
    <row r="44" spans="1:26" ht="16.5" customHeight="1" x14ac:dyDescent="0.2">
      <c r="A44" s="11"/>
      <c r="C44" s="118" t="s">
        <v>196</v>
      </c>
      <c r="D44" s="118"/>
      <c r="E44" s="118"/>
      <c r="F44" s="118"/>
      <c r="G44" s="118"/>
      <c r="H44" s="119">
        <f t="shared" ref="H44:X44" si="3">H45/$Y$46</f>
        <v>5.6409519797061158E-2</v>
      </c>
      <c r="I44" s="119">
        <f t="shared" si="3"/>
        <v>8.8596957010807099E-3</v>
      </c>
      <c r="J44" s="119">
        <f t="shared" si="3"/>
        <v>1.4173235647758653E-2</v>
      </c>
      <c r="K44" s="119">
        <f t="shared" si="3"/>
        <v>4.4842636017486642E-2</v>
      </c>
      <c r="L44" s="119">
        <f t="shared" si="3"/>
        <v>0.14374700307054078</v>
      </c>
      <c r="M44" s="119">
        <f t="shared" si="3"/>
        <v>0.14839755196002802</v>
      </c>
      <c r="N44" s="119">
        <f t="shared" si="3"/>
        <v>0.16548224694355154</v>
      </c>
      <c r="O44" s="119">
        <f t="shared" si="3"/>
        <v>0.14839755196002802</v>
      </c>
      <c r="P44" s="119">
        <f t="shared" si="3"/>
        <v>5.3586891383713406E-2</v>
      </c>
      <c r="Q44" s="119">
        <f t="shared" si="3"/>
        <v>5.3586891383713406E-2</v>
      </c>
      <c r="R44" s="119">
        <f t="shared" si="3"/>
        <v>5.3541857195530278E-2</v>
      </c>
      <c r="S44" s="119">
        <f t="shared" si="3"/>
        <v>8.0023134419991732E-2</v>
      </c>
      <c r="T44" s="119">
        <f t="shared" si="3"/>
        <v>9.1575043690914817E-3</v>
      </c>
      <c r="U44" s="119">
        <f t="shared" si="3"/>
        <v>8.731940148592807E-3</v>
      </c>
      <c r="V44" s="119">
        <f t="shared" si="3"/>
        <v>5.5311700009157399E-3</v>
      </c>
      <c r="W44" s="119">
        <f t="shared" si="3"/>
        <v>5.5311700009157399E-3</v>
      </c>
      <c r="X44" s="119">
        <f t="shared" si="3"/>
        <v>0</v>
      </c>
      <c r="Y44" s="119">
        <f>SUM(H44:W44)</f>
        <v>1</v>
      </c>
      <c r="Z44" s="73"/>
    </row>
    <row r="45" spans="1:26" ht="16.5" customHeight="1" x14ac:dyDescent="0.2">
      <c r="A45" s="11"/>
      <c r="C45" s="118" t="s">
        <v>197</v>
      </c>
      <c r="D45" s="118"/>
      <c r="E45" s="118"/>
      <c r="F45" s="118"/>
      <c r="G45" s="118"/>
      <c r="H45" s="120">
        <f>H10+H12+H14+H16+H18+H20+H22+H24+H26+H28</f>
        <v>132070.29999999999</v>
      </c>
      <c r="I45" s="120">
        <f>I14+I16+I18+I20+I22+I24</f>
        <v>20743</v>
      </c>
      <c r="J45" s="120">
        <f>J16+J18+J20+J22+J24+J26</f>
        <v>33183.467803030304</v>
      </c>
      <c r="K45" s="120">
        <f>K16+K18+K20+K22+K26</f>
        <v>104989.02335858587</v>
      </c>
      <c r="L45" s="120">
        <f>L16+L18+L20+L22+L26+L28+L38</f>
        <v>336551.5233585859</v>
      </c>
      <c r="M45" s="120">
        <f>M16+M18+M20+M22+M26+M28+M34+M36+M38</f>
        <v>347439.74558080808</v>
      </c>
      <c r="N45" s="120">
        <f>N16+N18+N20+N22+N26+N28+N34+N36+N38+N40</f>
        <v>387439.74558080808</v>
      </c>
      <c r="O45" s="120">
        <f>O16+O18+O20+O22+O26+O28+O32+O34+O36+O38</f>
        <v>347439.74558080808</v>
      </c>
      <c r="P45" s="120">
        <f>P16+P18+P20+P22+P26+P28+P32+P36</f>
        <v>125461.74558080808</v>
      </c>
      <c r="Q45" s="120">
        <f>Q16+Q18+Q20+Q22+Q26+Q28+Q32+Q36</f>
        <v>125461.74558080808</v>
      </c>
      <c r="R45" s="120">
        <f>R16+R18+R20+R26+R28+R32+R34+R36+R38</f>
        <v>125356.30808080808</v>
      </c>
      <c r="S45" s="120">
        <f>S16+S18+S20+S26+S28+S30+S32+S36</f>
        <v>187356.30808080808</v>
      </c>
      <c r="T45" s="120">
        <f>T16+T18+T20+T26+T28+T32+T34+T36</f>
        <v>21440.252525252523</v>
      </c>
      <c r="U45" s="120">
        <f>U16+U28+U32+U34+U36+U40</f>
        <v>20443.888888888891</v>
      </c>
      <c r="V45" s="120">
        <f>V30+V34+V36+V38+V40+V42</f>
        <v>12950</v>
      </c>
      <c r="W45" s="120">
        <f>W34+W36+W38+W40+W42</f>
        <v>12950</v>
      </c>
      <c r="X45" s="120">
        <f>X34+X36</f>
        <v>0</v>
      </c>
      <c r="Y45" s="120">
        <f>Y10+Y12+Y14+Y16+Y18+Y20+Y22+Y24+Y26+Y28+Y30+Y32+Y34+Y36+Y38+Y40+Y42</f>
        <v>2341276.7999999998</v>
      </c>
      <c r="Z45" s="73"/>
    </row>
    <row r="46" spans="1:26" ht="16.5" customHeight="1" x14ac:dyDescent="0.2">
      <c r="A46" s="11"/>
      <c r="C46" s="118" t="s">
        <v>231</v>
      </c>
      <c r="D46" s="118"/>
      <c r="E46" s="118"/>
      <c r="F46" s="118"/>
      <c r="G46" s="118"/>
      <c r="H46" s="121">
        <f>H44</f>
        <v>5.6409519797061158E-2</v>
      </c>
      <c r="I46" s="121">
        <f>I44+H46</f>
        <v>6.5269215498141867E-2</v>
      </c>
      <c r="J46" s="121">
        <f t="shared" ref="J46:T46" si="4">J44+I46</f>
        <v>7.9442451145900525E-2</v>
      </c>
      <c r="K46" s="121">
        <f t="shared" si="4"/>
        <v>0.12428508716338717</v>
      </c>
      <c r="L46" s="121">
        <f>L44+K46</f>
        <v>0.26803209023392793</v>
      </c>
      <c r="M46" s="121">
        <f t="shared" si="4"/>
        <v>0.41642964219395595</v>
      </c>
      <c r="N46" s="121">
        <f t="shared" si="4"/>
        <v>0.58191188913750747</v>
      </c>
      <c r="O46" s="121">
        <f t="shared" si="4"/>
        <v>0.73030944109753548</v>
      </c>
      <c r="P46" s="121">
        <f t="shared" si="4"/>
        <v>0.7838963324812489</v>
      </c>
      <c r="Q46" s="121">
        <f t="shared" si="4"/>
        <v>0.83748322386496232</v>
      </c>
      <c r="R46" s="121">
        <f t="shared" si="4"/>
        <v>0.89102508106049261</v>
      </c>
      <c r="S46" s="121">
        <f t="shared" si="4"/>
        <v>0.97104821548048437</v>
      </c>
      <c r="T46" s="121">
        <f t="shared" si="4"/>
        <v>0.98020571984957583</v>
      </c>
      <c r="U46" s="121">
        <f>U44+T46</f>
        <v>0.98893765999816863</v>
      </c>
      <c r="V46" s="121">
        <f>V44+U46</f>
        <v>0.99446882999908437</v>
      </c>
      <c r="W46" s="121">
        <f>W44+V46</f>
        <v>1</v>
      </c>
      <c r="X46" s="121">
        <f>X44+W46</f>
        <v>1</v>
      </c>
      <c r="Y46" s="120">
        <v>2341276.7999999998</v>
      </c>
      <c r="Z46" s="73"/>
    </row>
    <row r="47" spans="1:26" x14ac:dyDescent="0.2">
      <c r="A47" s="11"/>
      <c r="C47" s="118" t="s">
        <v>301</v>
      </c>
      <c r="D47" s="152">
        <f>COUNTIF(H45:W45,"&lt;&gt;0")</f>
        <v>16</v>
      </c>
      <c r="E47" s="161"/>
      <c r="F47" s="161"/>
      <c r="G47" s="161"/>
      <c r="H47" s="73"/>
      <c r="I47" s="73"/>
      <c r="J47" s="73"/>
      <c r="K47" s="73"/>
      <c r="L47" s="73"/>
      <c r="M47" s="73"/>
      <c r="N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spans="1:26" x14ac:dyDescent="0.2">
      <c r="A48" s="11"/>
      <c r="C48" s="118" t="s">
        <v>302</v>
      </c>
      <c r="D48" s="153">
        <f>COUNT(H45:W45)</f>
        <v>16</v>
      </c>
      <c r="E48" s="162"/>
      <c r="F48" s="162"/>
      <c r="G48" s="162"/>
      <c r="Y48" s="128"/>
    </row>
    <row r="49" spans="1:25" x14ac:dyDescent="0.2">
      <c r="A49" s="11"/>
      <c r="J49" s="130"/>
    </row>
    <row r="50" spans="1:25" x14ac:dyDescent="0.2">
      <c r="A50" s="11"/>
      <c r="I50" s="130"/>
      <c r="J50" s="4"/>
      <c r="Y50" s="4"/>
    </row>
    <row r="51" spans="1:25" x14ac:dyDescent="0.2">
      <c r="A51" s="11"/>
    </row>
    <row r="52" spans="1:25" x14ac:dyDescent="0.2">
      <c r="A52" s="11"/>
      <c r="K52" s="130"/>
    </row>
    <row r="53" spans="1:25" x14ac:dyDescent="0.2">
      <c r="A53" s="11"/>
    </row>
    <row r="54" spans="1:25" x14ac:dyDescent="0.2">
      <c r="A54" s="11"/>
    </row>
    <row r="55" spans="1:25" x14ac:dyDescent="0.2">
      <c r="A55" s="11"/>
    </row>
    <row r="56" spans="1:25" x14ac:dyDescent="0.2">
      <c r="A56" s="11"/>
    </row>
    <row r="57" spans="1:25" x14ac:dyDescent="0.2">
      <c r="A57" s="11"/>
    </row>
    <row r="58" spans="1:25" x14ac:dyDescent="0.2">
      <c r="A58" s="11"/>
    </row>
    <row r="59" spans="1:25" x14ac:dyDescent="0.2">
      <c r="A59" s="11"/>
    </row>
    <row r="60" spans="1:25" x14ac:dyDescent="0.2">
      <c r="A60" s="11"/>
    </row>
    <row r="61" spans="1:25" x14ac:dyDescent="0.2">
      <c r="A61" s="11"/>
    </row>
    <row r="62" spans="1:25" x14ac:dyDescent="0.2">
      <c r="A62" s="11"/>
    </row>
    <row r="63" spans="1:25" x14ac:dyDescent="0.2">
      <c r="A63" s="11"/>
    </row>
    <row r="64" spans="1:25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18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B1:Y1"/>
    <mergeCell ref="E9:E10"/>
    <mergeCell ref="E11:E12"/>
    <mergeCell ref="E13:E14"/>
    <mergeCell ref="E15:E16"/>
  </mergeCells>
  <phoneticPr fontId="4" type="noConversion"/>
  <conditionalFormatting sqref="H10:X10">
    <cfRule type="cellIs" dxfId="20" priority="21" operator="greaterThan">
      <formula>0</formula>
    </cfRule>
  </conditionalFormatting>
  <conditionalFormatting sqref="H12:X12">
    <cfRule type="cellIs" dxfId="19" priority="20" operator="greaterThan">
      <formula>0</formula>
    </cfRule>
  </conditionalFormatting>
  <conditionalFormatting sqref="H14:X14">
    <cfRule type="cellIs" dxfId="18" priority="19" operator="greaterThan">
      <formula>0</formula>
    </cfRule>
  </conditionalFormatting>
  <conditionalFormatting sqref="H16:X16">
    <cfRule type="cellIs" dxfId="17" priority="18" operator="greaterThan">
      <formula>0</formula>
    </cfRule>
  </conditionalFormatting>
  <conditionalFormatting sqref="H18:X18">
    <cfRule type="cellIs" dxfId="16" priority="17" operator="greaterThan">
      <formula>0</formula>
    </cfRule>
  </conditionalFormatting>
  <conditionalFormatting sqref="H20:X20">
    <cfRule type="cellIs" dxfId="15" priority="16" operator="greaterThan">
      <formula>0</formula>
    </cfRule>
  </conditionalFormatting>
  <conditionalFormatting sqref="H22:X22">
    <cfRule type="cellIs" dxfId="14" priority="15" operator="greaterThan">
      <formula>0</formula>
    </cfRule>
  </conditionalFormatting>
  <conditionalFormatting sqref="H24:X24">
    <cfRule type="cellIs" dxfId="13" priority="14" operator="greaterThan">
      <formula>0</formula>
    </cfRule>
  </conditionalFormatting>
  <conditionalFormatting sqref="H26:X26">
    <cfRule type="cellIs" dxfId="12" priority="13" operator="greaterThan">
      <formula>0</formula>
    </cfRule>
  </conditionalFormatting>
  <conditionalFormatting sqref="H28:X28">
    <cfRule type="cellIs" dxfId="11" priority="12" operator="greaterThan">
      <formula>0</formula>
    </cfRule>
  </conditionalFormatting>
  <conditionalFormatting sqref="H30:X30">
    <cfRule type="cellIs" dxfId="10" priority="11" operator="greaterThan">
      <formula>0</formula>
    </cfRule>
  </conditionalFormatting>
  <conditionalFormatting sqref="H32:X32">
    <cfRule type="cellIs" dxfId="9" priority="10" operator="greaterThan">
      <formula>0</formula>
    </cfRule>
  </conditionalFormatting>
  <conditionalFormatting sqref="H34:X34">
    <cfRule type="cellIs" dxfId="8" priority="9" operator="greaterThan">
      <formula>0</formula>
    </cfRule>
  </conditionalFormatting>
  <conditionalFormatting sqref="H36:X36">
    <cfRule type="cellIs" dxfId="7" priority="8" operator="greaterThan">
      <formula>0</formula>
    </cfRule>
  </conditionalFormatting>
  <conditionalFormatting sqref="H38:X38">
    <cfRule type="cellIs" dxfId="6" priority="7" operator="greaterThan">
      <formula>0</formula>
    </cfRule>
  </conditionalFormatting>
  <conditionalFormatting sqref="H40:X40">
    <cfRule type="cellIs" dxfId="5" priority="6" operator="greaterThan">
      <formula>0</formula>
    </cfRule>
  </conditionalFormatting>
  <conditionalFormatting sqref="H42:X42">
    <cfRule type="cellIs" dxfId="4" priority="5" operator="greaterThan">
      <formula>0</formula>
    </cfRule>
  </conditionalFormatting>
  <conditionalFormatting sqref="E9:E42">
    <cfRule type="cellIs" dxfId="3" priority="1" operator="equal">
      <formula>"Interrompido"</formula>
    </cfRule>
    <cfRule type="cellIs" dxfId="2" priority="2" operator="equal">
      <formula>"Cancelado"</formula>
    </cfRule>
    <cfRule type="cellIs" dxfId="1" priority="3" operator="equal">
      <formula>"Em execução"</formula>
    </cfRule>
    <cfRule type="cellIs" dxfId="0" priority="4" operator="equal">
      <formula>"Finalizado"</formula>
    </cfRule>
  </conditionalFormatting>
  <dataValidations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38" t="s">
        <v>283</v>
      </c>
      <c r="B1" s="139"/>
      <c r="C1" s="139"/>
      <c r="D1" s="139">
        <v>0</v>
      </c>
      <c r="E1" s="139">
        <f>'FÍSICO x FINANCEIRO'!H46</f>
        <v>5.6409519797061158E-2</v>
      </c>
      <c r="F1" s="139">
        <f>'FÍSICO x FINANCEIRO'!I46</f>
        <v>6.5269215498141867E-2</v>
      </c>
      <c r="G1" s="139">
        <f>'FÍSICO x FINANCEIRO'!J46</f>
        <v>7.9442451145900525E-2</v>
      </c>
      <c r="H1" s="139">
        <f>'FÍSICO x FINANCEIRO'!K46</f>
        <v>0.12428508716338717</v>
      </c>
      <c r="I1" s="139">
        <f>'FÍSICO x FINANCEIRO'!L46</f>
        <v>0.26803209023392793</v>
      </c>
      <c r="J1" s="139">
        <f>'FÍSICO x FINANCEIRO'!M46</f>
        <v>0.41642964219395595</v>
      </c>
      <c r="K1" s="139">
        <f>'FÍSICO x FINANCEIRO'!N46</f>
        <v>0.58191188913750747</v>
      </c>
      <c r="L1" s="139">
        <f>'FÍSICO x FINANCEIRO'!O46</f>
        <v>0.73030944109753548</v>
      </c>
      <c r="M1" s="139">
        <f>'FÍSICO x FINANCEIRO'!P46</f>
        <v>0.7838963324812489</v>
      </c>
      <c r="N1" s="139">
        <f>'FÍSICO x FINANCEIRO'!Q46</f>
        <v>0.83748322386496232</v>
      </c>
      <c r="O1" s="139">
        <f>'FÍSICO x FINANCEIRO'!R46</f>
        <v>0.89102508106049261</v>
      </c>
      <c r="P1" s="139">
        <f>'FÍSICO x FINANCEIRO'!S46</f>
        <v>0.97104821548048437</v>
      </c>
      <c r="Q1" s="139">
        <f>'FÍSICO x FINANCEIRO'!T46</f>
        <v>0.98020571984957583</v>
      </c>
      <c r="R1" s="139">
        <f>'FÍSICO x FINANCEIRO'!U46</f>
        <v>0.98893765999816863</v>
      </c>
      <c r="S1" s="139">
        <f>'FÍSICO x FINANCEIRO'!V46</f>
        <v>0.99446882999908437</v>
      </c>
      <c r="T1" s="139">
        <f>'FÍSICO x FINANCEIRO'!W46</f>
        <v>1</v>
      </c>
      <c r="U1" s="139">
        <f>'FÍSICO x FINANCEIRO'!X46</f>
        <v>1</v>
      </c>
      <c r="V1" s="139" t="e">
        <f>'FÍSICO x FINANCEIRO'!#REF!</f>
        <v>#REF!</v>
      </c>
      <c r="W1" s="139" t="e">
        <f>'FÍSICO x FINANCEIRO'!#REF!</f>
        <v>#REF!</v>
      </c>
      <c r="X1" s="139" t="e">
        <f>'FÍSICO x FINANCEIRO'!#REF!</f>
        <v>#REF!</v>
      </c>
      <c r="Y1" s="139" t="e">
        <f>'FÍSICO x FINANCEIRO'!#REF!</f>
        <v>#REF!</v>
      </c>
      <c r="Z1" s="139" t="e">
        <f>'FÍSICO x FINANCEIRO'!#REF!</f>
        <v>#REF!</v>
      </c>
      <c r="AA1" s="131"/>
    </row>
    <row r="2" spans="1:27" x14ac:dyDescent="0.2">
      <c r="A2" s="138" t="s">
        <v>284</v>
      </c>
      <c r="B2" s="140"/>
      <c r="C2" s="141"/>
      <c r="D2" s="141" t="s">
        <v>211</v>
      </c>
      <c r="E2" s="141">
        <f>'FÍSICO x FINANCEIRO'!H7</f>
        <v>40360</v>
      </c>
      <c r="F2" s="141">
        <f>'FÍSICO x FINANCEIRO'!I7</f>
        <v>40391</v>
      </c>
      <c r="G2" s="141">
        <f>'FÍSICO x FINANCEIRO'!J7</f>
        <v>40422</v>
      </c>
      <c r="H2" s="141">
        <f>'FÍSICO x FINANCEIRO'!K7</f>
        <v>40452</v>
      </c>
      <c r="I2" s="141">
        <f>'FÍSICO x FINANCEIRO'!L7</f>
        <v>40483</v>
      </c>
      <c r="J2" s="141">
        <f>'FÍSICO x FINANCEIRO'!M7</f>
        <v>40513</v>
      </c>
      <c r="K2" s="141">
        <f>'FÍSICO x FINANCEIRO'!N7</f>
        <v>40544</v>
      </c>
      <c r="L2" s="141">
        <f>'FÍSICO x FINANCEIRO'!O7</f>
        <v>40575</v>
      </c>
      <c r="M2" s="141">
        <f>'FÍSICO x FINANCEIRO'!P7</f>
        <v>40603</v>
      </c>
      <c r="N2" s="141">
        <f>'FÍSICO x FINANCEIRO'!Q7</f>
        <v>40634</v>
      </c>
      <c r="O2" s="141">
        <f>'FÍSICO x FINANCEIRO'!R7</f>
        <v>40664</v>
      </c>
      <c r="P2" s="141">
        <f>'FÍSICO x FINANCEIRO'!S7</f>
        <v>40695</v>
      </c>
      <c r="Q2" s="141">
        <f>'FÍSICO x FINANCEIRO'!T7</f>
        <v>40725</v>
      </c>
      <c r="R2" s="141">
        <f>'FÍSICO x FINANCEIRO'!U7</f>
        <v>40756</v>
      </c>
      <c r="S2" s="145">
        <f>'FÍSICO x FINANCEIRO'!V7</f>
        <v>40787</v>
      </c>
      <c r="T2" s="145">
        <f>'FÍSICO x FINANCEIRO'!W7</f>
        <v>40817</v>
      </c>
      <c r="U2" s="138"/>
      <c r="V2" s="138"/>
      <c r="W2" s="138"/>
      <c r="X2" s="138"/>
      <c r="Y2" s="138"/>
      <c r="Z2" s="138"/>
      <c r="AA2" s="137"/>
    </row>
    <row r="3" spans="1:27" ht="13.5" thickBot="1" x14ac:dyDescent="0.25">
      <c r="B3" s="15"/>
      <c r="C3" s="132"/>
      <c r="D3" s="132"/>
      <c r="E3" s="132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27" x14ac:dyDescent="0.2">
      <c r="B4" s="17"/>
      <c r="C4" s="133"/>
      <c r="D4" s="133"/>
      <c r="E4" s="133"/>
      <c r="F4" s="18"/>
      <c r="G4" s="18"/>
      <c r="H4" s="18"/>
      <c r="I4" s="18"/>
      <c r="J4" s="18"/>
      <c r="K4" s="18"/>
      <c r="L4" s="18"/>
      <c r="M4" s="18"/>
      <c r="N4" s="19"/>
      <c r="O4" s="16"/>
      <c r="P4" s="16"/>
      <c r="Q4" s="16"/>
    </row>
    <row r="5" spans="1:27" ht="14.25" x14ac:dyDescent="0.2">
      <c r="B5" s="20"/>
      <c r="C5" s="134" t="s">
        <v>281</v>
      </c>
      <c r="D5" s="134"/>
      <c r="E5" s="134"/>
      <c r="F5" s="127"/>
      <c r="G5" s="127"/>
      <c r="H5" s="127"/>
      <c r="I5" s="16"/>
      <c r="J5" s="16"/>
      <c r="K5" s="16"/>
      <c r="L5" s="16"/>
      <c r="M5" s="16"/>
      <c r="N5" s="21"/>
      <c r="O5" s="16"/>
      <c r="P5" s="16"/>
      <c r="Q5" s="16"/>
    </row>
    <row r="6" spans="1:27" x14ac:dyDescent="0.2">
      <c r="B6" s="20"/>
      <c r="C6" s="135"/>
      <c r="D6" s="135"/>
      <c r="E6" s="135"/>
      <c r="F6" s="16"/>
      <c r="G6" s="16"/>
      <c r="H6" s="16"/>
      <c r="I6" s="16"/>
      <c r="J6" s="16"/>
      <c r="K6" s="16"/>
      <c r="L6" s="16"/>
      <c r="M6" s="16"/>
      <c r="N6" s="21"/>
      <c r="O6" s="16"/>
      <c r="P6" s="16"/>
      <c r="Q6" s="16"/>
    </row>
    <row r="7" spans="1:27" ht="14.25" x14ac:dyDescent="0.2">
      <c r="B7" s="20"/>
      <c r="C7" s="134" t="s">
        <v>282</v>
      </c>
      <c r="D7" s="134"/>
      <c r="E7" s="134"/>
      <c r="F7" s="16"/>
      <c r="G7" s="16"/>
      <c r="H7" s="16"/>
      <c r="I7" s="16"/>
      <c r="J7" s="16"/>
      <c r="K7" s="16"/>
      <c r="L7" s="16"/>
      <c r="M7" s="16"/>
      <c r="N7" s="21"/>
      <c r="O7" s="16"/>
      <c r="P7" s="16"/>
      <c r="Q7" s="16"/>
    </row>
    <row r="8" spans="1:27" x14ac:dyDescent="0.2">
      <c r="B8" s="22"/>
      <c r="C8" s="136"/>
      <c r="D8" s="136"/>
      <c r="E8" s="136"/>
      <c r="F8" s="23"/>
      <c r="G8" s="23"/>
      <c r="H8" s="23"/>
      <c r="I8" s="23"/>
      <c r="J8" s="23"/>
      <c r="K8" s="23"/>
      <c r="L8" s="23"/>
      <c r="M8" s="23"/>
      <c r="N8" s="24"/>
    </row>
    <row r="9" spans="1:27" x14ac:dyDescent="0.2">
      <c r="B9" s="22"/>
      <c r="C9" s="136"/>
      <c r="D9" s="136"/>
      <c r="E9" s="136"/>
      <c r="F9" s="23"/>
      <c r="G9" s="23"/>
      <c r="H9" s="23"/>
      <c r="I9" s="23"/>
      <c r="J9" s="23"/>
      <c r="K9" s="23"/>
      <c r="L9" s="23"/>
      <c r="M9" s="23"/>
      <c r="N9" s="24"/>
    </row>
    <row r="10" spans="1:27" x14ac:dyDescent="0.2">
      <c r="B10" s="22"/>
      <c r="C10" s="136"/>
      <c r="D10" s="136"/>
      <c r="E10" s="136"/>
      <c r="F10" s="23"/>
      <c r="G10" s="23"/>
      <c r="H10" s="23"/>
      <c r="I10" s="23"/>
      <c r="J10" s="23"/>
      <c r="K10" s="23"/>
      <c r="L10" s="23"/>
      <c r="M10" s="23"/>
      <c r="N10" s="24"/>
    </row>
    <row r="11" spans="1:27" x14ac:dyDescent="0.2">
      <c r="B11" s="22"/>
      <c r="C11" s="136"/>
      <c r="D11" s="136"/>
      <c r="E11" s="136"/>
      <c r="F11" s="23"/>
      <c r="G11" s="23"/>
      <c r="H11" s="23"/>
      <c r="I11" s="23"/>
      <c r="J11" s="23"/>
      <c r="K11" s="23"/>
      <c r="L11" s="23"/>
      <c r="M11" s="23"/>
      <c r="N11" s="24"/>
    </row>
    <row r="12" spans="1:27" x14ac:dyDescent="0.2">
      <c r="B12" s="22"/>
      <c r="C12" s="136"/>
      <c r="D12" s="136"/>
      <c r="E12" s="136"/>
      <c r="F12" s="23"/>
      <c r="G12" s="23"/>
      <c r="H12" s="23"/>
      <c r="I12" s="23"/>
      <c r="J12" s="23"/>
      <c r="K12" s="23"/>
      <c r="L12" s="23"/>
      <c r="M12" s="23"/>
      <c r="N12" s="24"/>
    </row>
    <row r="13" spans="1:27" x14ac:dyDescent="0.2">
      <c r="B13" s="22"/>
      <c r="C13" s="136"/>
      <c r="D13" s="136"/>
      <c r="E13" s="136"/>
      <c r="F13" s="23"/>
      <c r="G13" s="23"/>
      <c r="H13" s="23"/>
      <c r="I13" s="23"/>
      <c r="J13" s="23"/>
      <c r="K13" s="23"/>
      <c r="L13" s="23"/>
      <c r="M13" s="23"/>
      <c r="N13" s="24"/>
    </row>
    <row r="14" spans="1:27" x14ac:dyDescent="0.2">
      <c r="B14" s="22"/>
      <c r="C14" s="136"/>
      <c r="D14" s="136"/>
      <c r="E14" s="136"/>
      <c r="F14" s="23"/>
      <c r="G14" s="23"/>
      <c r="H14" s="23"/>
      <c r="I14" s="23"/>
      <c r="J14" s="23"/>
      <c r="K14" s="23"/>
      <c r="L14" s="23"/>
      <c r="M14" s="23"/>
      <c r="N14" s="24"/>
    </row>
    <row r="15" spans="1:27" x14ac:dyDescent="0.2">
      <c r="B15" s="22"/>
      <c r="C15" s="136"/>
      <c r="D15" s="136"/>
      <c r="E15" s="136"/>
      <c r="F15" s="23"/>
      <c r="G15" s="23"/>
      <c r="H15" s="23"/>
      <c r="I15" s="23"/>
      <c r="J15" s="23"/>
      <c r="K15" s="23"/>
      <c r="L15" s="23"/>
      <c r="M15" s="23"/>
      <c r="N15" s="24"/>
    </row>
    <row r="16" spans="1:27" x14ac:dyDescent="0.2">
      <c r="B16" s="22"/>
      <c r="C16" s="136"/>
      <c r="D16" s="136"/>
      <c r="E16" s="136"/>
      <c r="F16" s="23"/>
      <c r="G16" s="23"/>
      <c r="H16" s="23"/>
      <c r="I16" s="23"/>
      <c r="J16" s="23"/>
      <c r="K16" s="23"/>
      <c r="L16" s="23"/>
      <c r="M16" s="23"/>
      <c r="N16" s="24"/>
    </row>
    <row r="17" spans="2:14" x14ac:dyDescent="0.2">
      <c r="B17" s="22"/>
      <c r="C17" s="136"/>
      <c r="D17" s="136"/>
      <c r="E17" s="136"/>
      <c r="F17" s="23"/>
      <c r="G17" s="23"/>
      <c r="H17" s="23"/>
      <c r="I17" s="23"/>
      <c r="J17" s="23"/>
      <c r="K17" s="23"/>
      <c r="L17" s="23"/>
      <c r="M17" s="23"/>
      <c r="N17" s="24"/>
    </row>
    <row r="18" spans="2:14" x14ac:dyDescent="0.2">
      <c r="B18" s="22"/>
      <c r="C18" s="136"/>
      <c r="D18" s="136"/>
      <c r="E18" s="136"/>
      <c r="F18" s="23"/>
      <c r="G18" s="23"/>
      <c r="H18" s="23"/>
      <c r="I18" s="23"/>
      <c r="J18" s="23"/>
      <c r="K18" s="23"/>
      <c r="L18" s="23"/>
      <c r="M18" s="23"/>
      <c r="N18" s="24"/>
    </row>
    <row r="19" spans="2:14" x14ac:dyDescent="0.2">
      <c r="B19" s="22"/>
      <c r="C19" s="136"/>
      <c r="D19" s="136"/>
      <c r="E19" s="136"/>
      <c r="F19" s="23"/>
      <c r="G19" s="23"/>
      <c r="H19" s="23"/>
      <c r="I19" s="23"/>
      <c r="J19" s="23"/>
      <c r="K19" s="23"/>
      <c r="L19" s="23"/>
      <c r="M19" s="23"/>
      <c r="N19" s="24"/>
    </row>
    <row r="20" spans="2:14" x14ac:dyDescent="0.2">
      <c r="B20" s="22"/>
      <c r="C20" s="136"/>
      <c r="D20" s="136"/>
      <c r="E20" s="136"/>
      <c r="F20" s="23"/>
      <c r="G20" s="23"/>
      <c r="H20" s="23"/>
      <c r="I20" s="23"/>
      <c r="J20" s="23"/>
      <c r="K20" s="23"/>
      <c r="L20" s="23"/>
      <c r="M20" s="23"/>
      <c r="N20" s="24"/>
    </row>
    <row r="21" spans="2:14" x14ac:dyDescent="0.2">
      <c r="B21" s="22"/>
      <c r="C21" s="136"/>
      <c r="D21" s="136"/>
      <c r="E21" s="136"/>
      <c r="F21" s="23"/>
      <c r="G21" s="23"/>
      <c r="H21" s="23"/>
      <c r="I21" s="23"/>
      <c r="J21" s="23"/>
      <c r="K21" s="23"/>
      <c r="L21" s="23"/>
      <c r="M21" s="23"/>
      <c r="N21" s="24"/>
    </row>
    <row r="22" spans="2:14" x14ac:dyDescent="0.2">
      <c r="B22" s="22"/>
      <c r="C22" s="136"/>
      <c r="D22" s="136"/>
      <c r="E22" s="136"/>
      <c r="F22" s="23"/>
      <c r="G22" s="23"/>
      <c r="H22" s="23"/>
      <c r="I22" s="23"/>
      <c r="J22" s="23"/>
      <c r="K22" s="23"/>
      <c r="L22" s="23"/>
      <c r="M22" s="23"/>
      <c r="N22" s="24"/>
    </row>
    <row r="23" spans="2:14" x14ac:dyDescent="0.2">
      <c r="B23" s="22"/>
      <c r="C23" s="136"/>
      <c r="D23" s="136"/>
      <c r="E23" s="136"/>
      <c r="F23" s="23"/>
      <c r="G23" s="23"/>
      <c r="H23" s="23"/>
      <c r="I23" s="23"/>
      <c r="J23" s="23"/>
      <c r="K23" s="23"/>
      <c r="L23" s="23"/>
      <c r="M23" s="23"/>
      <c r="N23" s="24"/>
    </row>
    <row r="24" spans="2:14" x14ac:dyDescent="0.2">
      <c r="B24" s="22"/>
      <c r="C24" s="136"/>
      <c r="D24" s="136"/>
      <c r="E24" s="136"/>
      <c r="F24" s="23"/>
      <c r="G24" s="23"/>
      <c r="H24" s="23"/>
      <c r="I24" s="23"/>
      <c r="J24" s="23"/>
      <c r="K24" s="23"/>
      <c r="L24" s="23"/>
      <c r="M24" s="23"/>
      <c r="N24" s="24"/>
    </row>
    <row r="25" spans="2:14" x14ac:dyDescent="0.2">
      <c r="B25" s="22"/>
      <c r="C25" s="136"/>
      <c r="D25" s="136"/>
      <c r="E25" s="136"/>
      <c r="F25" s="23"/>
      <c r="G25" s="23"/>
      <c r="H25" s="23"/>
      <c r="I25" s="23"/>
      <c r="J25" s="23"/>
      <c r="K25" s="23"/>
      <c r="L25" s="23"/>
      <c r="M25" s="23"/>
      <c r="N25" s="24"/>
    </row>
    <row r="26" spans="2:14" x14ac:dyDescent="0.2">
      <c r="B26" s="22"/>
      <c r="C26" s="136"/>
      <c r="D26" s="136"/>
      <c r="E26" s="136"/>
      <c r="F26" s="23"/>
      <c r="G26" s="23"/>
      <c r="H26" s="23"/>
      <c r="I26" s="23"/>
      <c r="J26" s="23"/>
      <c r="K26" s="23"/>
      <c r="L26" s="23"/>
      <c r="M26" s="23"/>
      <c r="N26" s="24"/>
    </row>
    <row r="27" spans="2:14" x14ac:dyDescent="0.2">
      <c r="B27" s="22"/>
      <c r="C27" s="136"/>
      <c r="D27" s="136"/>
      <c r="E27" s="136"/>
      <c r="F27" s="23"/>
      <c r="G27" s="23"/>
      <c r="H27" s="23"/>
      <c r="I27" s="23"/>
      <c r="J27" s="23"/>
      <c r="K27" s="23"/>
      <c r="L27" s="23"/>
      <c r="M27" s="23"/>
      <c r="N27" s="24"/>
    </row>
    <row r="28" spans="2:14" x14ac:dyDescent="0.2">
      <c r="B28" s="22"/>
      <c r="C28" s="136"/>
      <c r="D28" s="136"/>
      <c r="E28" s="136"/>
      <c r="F28" s="23"/>
      <c r="G28" s="23"/>
      <c r="H28" s="23"/>
      <c r="I28" s="23"/>
      <c r="J28" s="23"/>
      <c r="K28" s="23"/>
      <c r="L28" s="23"/>
      <c r="M28" s="23"/>
      <c r="N28" s="24"/>
    </row>
    <row r="29" spans="2:14" x14ac:dyDescent="0.2">
      <c r="B29" s="22"/>
      <c r="C29" s="136"/>
      <c r="D29" s="136"/>
      <c r="E29" s="136"/>
      <c r="F29" s="23"/>
      <c r="G29" s="23"/>
      <c r="H29" s="23"/>
      <c r="I29" s="23"/>
      <c r="J29" s="23"/>
      <c r="K29" s="23"/>
      <c r="L29" s="23"/>
      <c r="M29" s="23"/>
      <c r="N29" s="24"/>
    </row>
    <row r="30" spans="2:14" x14ac:dyDescent="0.2">
      <c r="B30" s="22"/>
      <c r="C30" s="136"/>
      <c r="D30" s="136"/>
      <c r="E30" s="136"/>
      <c r="F30" s="23"/>
      <c r="G30" s="23"/>
      <c r="H30" s="23"/>
      <c r="I30" s="23"/>
      <c r="J30" s="23"/>
      <c r="K30" s="23"/>
      <c r="L30" s="23"/>
      <c r="M30" s="23"/>
      <c r="N30" s="24"/>
    </row>
    <row r="31" spans="2:14" x14ac:dyDescent="0.2">
      <c r="B31" s="22"/>
      <c r="C31" s="136"/>
      <c r="D31" s="136"/>
      <c r="E31" s="136"/>
      <c r="F31" s="23"/>
      <c r="G31" s="23"/>
      <c r="H31" s="23"/>
      <c r="I31" s="23"/>
      <c r="J31" s="23"/>
      <c r="K31" s="23"/>
      <c r="L31" s="23"/>
      <c r="M31" s="23"/>
      <c r="N31" s="24"/>
    </row>
    <row r="32" spans="2:14" x14ac:dyDescent="0.2">
      <c r="B32" s="22"/>
      <c r="C32" s="136"/>
      <c r="D32" s="136"/>
      <c r="E32" s="136"/>
      <c r="F32" s="23"/>
      <c r="G32" s="23"/>
      <c r="H32" s="23"/>
      <c r="I32" s="23"/>
      <c r="J32" s="23"/>
      <c r="K32" s="23"/>
      <c r="L32" s="23"/>
      <c r="M32" s="23"/>
      <c r="N32" s="24"/>
    </row>
    <row r="33" spans="2:14" x14ac:dyDescent="0.2">
      <c r="B33" s="22"/>
      <c r="C33" s="136"/>
      <c r="D33" s="136"/>
      <c r="E33" s="136"/>
      <c r="F33" s="23"/>
      <c r="G33" s="23"/>
      <c r="H33" s="23"/>
      <c r="I33" s="23"/>
      <c r="J33" s="23"/>
      <c r="K33" s="23"/>
      <c r="L33" s="23"/>
      <c r="M33" s="23"/>
      <c r="N33" s="24"/>
    </row>
    <row r="34" spans="2:14" x14ac:dyDescent="0.2">
      <c r="B34" s="22"/>
      <c r="C34" s="136"/>
      <c r="D34" s="136"/>
      <c r="E34" s="136"/>
      <c r="F34" s="23"/>
      <c r="G34" s="23"/>
      <c r="H34" s="23"/>
      <c r="I34" s="23"/>
      <c r="J34" s="23"/>
      <c r="K34" s="23"/>
      <c r="L34" s="23"/>
      <c r="M34" s="23"/>
      <c r="N34" s="24"/>
    </row>
    <row r="35" spans="2:14" x14ac:dyDescent="0.2">
      <c r="B35" s="22"/>
      <c r="C35" s="136"/>
      <c r="D35" s="136"/>
      <c r="E35" s="136"/>
      <c r="F35" s="23"/>
      <c r="G35" s="23"/>
      <c r="H35" s="23"/>
      <c r="I35" s="23"/>
      <c r="J35" s="23"/>
      <c r="K35" s="23"/>
      <c r="L35" s="23"/>
      <c r="M35" s="23"/>
      <c r="N35" s="24"/>
    </row>
    <row r="36" spans="2:14" x14ac:dyDescent="0.2">
      <c r="B36" s="22"/>
      <c r="C36" s="136"/>
      <c r="D36" s="136"/>
      <c r="E36" s="136"/>
      <c r="F36" s="23"/>
      <c r="G36" s="23"/>
      <c r="H36" s="23"/>
      <c r="I36" s="23"/>
      <c r="J36" s="23"/>
      <c r="K36" s="23"/>
      <c r="L36" s="23"/>
      <c r="M36" s="23"/>
      <c r="N36" s="24"/>
    </row>
    <row r="37" spans="2:14" x14ac:dyDescent="0.2">
      <c r="B37" s="22"/>
      <c r="C37" s="136"/>
      <c r="D37" s="136"/>
      <c r="E37" s="136"/>
      <c r="F37" s="23"/>
      <c r="G37" s="23"/>
      <c r="H37" s="23"/>
      <c r="I37" s="23"/>
      <c r="J37" s="23"/>
      <c r="K37" s="23"/>
      <c r="L37" s="23"/>
      <c r="M37" s="23"/>
      <c r="N37" s="24"/>
    </row>
    <row r="38" spans="2:14" x14ac:dyDescent="0.2"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/>
    </row>
    <row r="39" spans="2:14" x14ac:dyDescent="0.2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4"/>
    </row>
    <row r="40" spans="2:14" x14ac:dyDescent="0.2">
      <c r="B40" s="2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4"/>
    </row>
    <row r="41" spans="2:14" ht="13.5" thickBot="1" x14ac:dyDescent="0.25"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7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46">
        <v>0</v>
      </c>
      <c r="D1" s="139">
        <f>'FÍSICO x FINANCEIRO'!H45</f>
        <v>132070.29999999999</v>
      </c>
      <c r="E1" s="139">
        <f>'FÍSICO x FINANCEIRO'!I45</f>
        <v>20743</v>
      </c>
      <c r="F1" s="139">
        <f>'FÍSICO x FINANCEIRO'!J45</f>
        <v>33183.467803030304</v>
      </c>
      <c r="G1" s="139">
        <f>'FÍSICO x FINANCEIRO'!K45</f>
        <v>104989.02335858587</v>
      </c>
      <c r="H1" s="139">
        <f>'FÍSICO x FINANCEIRO'!L45</f>
        <v>336551.5233585859</v>
      </c>
      <c r="I1" s="139">
        <f>'FÍSICO x FINANCEIRO'!M45</f>
        <v>347439.74558080808</v>
      </c>
      <c r="J1" s="139">
        <f>'FÍSICO x FINANCEIRO'!N45</f>
        <v>387439.74558080808</v>
      </c>
      <c r="K1" s="139">
        <f>'FÍSICO x FINANCEIRO'!O45</f>
        <v>347439.74558080808</v>
      </c>
      <c r="L1" s="139">
        <f>'FÍSICO x FINANCEIRO'!P45</f>
        <v>125461.74558080808</v>
      </c>
      <c r="M1" s="139">
        <f>'FÍSICO x FINANCEIRO'!Q45</f>
        <v>125461.74558080808</v>
      </c>
      <c r="N1" s="139">
        <f>'FÍSICO x FINANCEIRO'!R45</f>
        <v>125356.30808080808</v>
      </c>
      <c r="O1" s="139">
        <f>'FÍSICO x FINANCEIRO'!S45</f>
        <v>187356.30808080808</v>
      </c>
      <c r="P1" s="139">
        <f>'FÍSICO x FINANCEIRO'!T45</f>
        <v>21440.252525252523</v>
      </c>
      <c r="Q1" s="139">
        <f>'FÍSICO x FINANCEIRO'!U45</f>
        <v>20443.888888888891</v>
      </c>
      <c r="R1" s="139">
        <f>'FÍSICO x FINANCEIRO'!V45</f>
        <v>12950</v>
      </c>
      <c r="S1" s="139">
        <f>'FÍSICO x FINANCEIRO'!X45</f>
        <v>0</v>
      </c>
      <c r="T1" s="139">
        <f>'FÍSICO x FINANCEIRO'!X45</f>
        <v>0</v>
      </c>
      <c r="U1" s="139" t="e">
        <f>'FÍSICO x FINANCEIRO'!#REF!</f>
        <v>#REF!</v>
      </c>
      <c r="V1" s="139" t="e">
        <f>'FÍSICO x FINANCEIRO'!#REF!</f>
        <v>#REF!</v>
      </c>
      <c r="W1" s="139" t="e">
        <f>'FÍSICO x FINANCEIRO'!#REF!</f>
        <v>#REF!</v>
      </c>
      <c r="X1" s="139" t="e">
        <f>'FÍSICO x FINANCEIRO'!#REF!</f>
        <v>#REF!</v>
      </c>
      <c r="Y1" s="139" t="e">
        <f>'FÍSICO x FINANCEIRO'!#REF!</f>
        <v>#REF!</v>
      </c>
    </row>
    <row r="2" spans="2:25" x14ac:dyDescent="0.2">
      <c r="C2" s="141" t="s">
        <v>211</v>
      </c>
      <c r="D2" s="141">
        <f>'FÍSICO x FINANCEIRO'!H7</f>
        <v>40360</v>
      </c>
      <c r="E2" s="141">
        <f>'FÍSICO x FINANCEIRO'!I7</f>
        <v>40391</v>
      </c>
      <c r="F2" s="141">
        <f>'FÍSICO x FINANCEIRO'!J7</f>
        <v>40422</v>
      </c>
      <c r="G2" s="141">
        <f>'FÍSICO x FINANCEIRO'!K7</f>
        <v>40452</v>
      </c>
      <c r="H2" s="141">
        <f>'FÍSICO x FINANCEIRO'!L7</f>
        <v>40483</v>
      </c>
      <c r="I2" s="141">
        <f>'FÍSICO x FINANCEIRO'!M7</f>
        <v>40513</v>
      </c>
      <c r="J2" s="141">
        <f>'FÍSICO x FINANCEIRO'!N7</f>
        <v>40544</v>
      </c>
      <c r="K2" s="141">
        <f>'FÍSICO x FINANCEIRO'!O7</f>
        <v>40575</v>
      </c>
      <c r="L2" s="141">
        <f>'FÍSICO x FINANCEIRO'!P7</f>
        <v>40603</v>
      </c>
      <c r="M2" s="141">
        <f>'FÍSICO x FINANCEIRO'!Q7</f>
        <v>40634</v>
      </c>
      <c r="N2" s="141">
        <f>'FÍSICO x FINANCEIRO'!R7</f>
        <v>40664</v>
      </c>
      <c r="O2" s="141">
        <f>'FÍSICO x FINANCEIRO'!S7</f>
        <v>40695</v>
      </c>
      <c r="P2" s="141">
        <f>'FÍSICO x FINANCEIRO'!T7</f>
        <v>40725</v>
      </c>
      <c r="Q2" s="141">
        <f>'FÍSICO x FINANCEIRO'!U7</f>
        <v>40756</v>
      </c>
      <c r="R2" s="145">
        <f>'FÍSICO x FINANCEIRO'!V7</f>
        <v>40787</v>
      </c>
      <c r="S2" s="145">
        <f>'FÍSICO x FINANCEIRO'!W7</f>
        <v>40817</v>
      </c>
      <c r="T2" s="138"/>
      <c r="U2" s="138"/>
      <c r="V2" s="138"/>
      <c r="W2" s="138"/>
      <c r="X2" s="138"/>
      <c r="Y2" s="138"/>
    </row>
    <row r="3" spans="2:25" ht="13.5" thickBot="1" x14ac:dyDescent="0.25"/>
    <row r="4" spans="2:25" x14ac:dyDescent="0.2">
      <c r="B4" s="17"/>
      <c r="C4" s="133"/>
      <c r="D4" s="133"/>
      <c r="E4" s="133"/>
      <c r="F4" s="18"/>
      <c r="G4" s="18"/>
      <c r="H4" s="18"/>
      <c r="I4" s="18"/>
      <c r="J4" s="18"/>
      <c r="K4" s="18"/>
      <c r="L4" s="18"/>
      <c r="M4" s="18"/>
      <c r="N4" s="19"/>
    </row>
    <row r="5" spans="2:25" ht="14.25" x14ac:dyDescent="0.2">
      <c r="B5" s="20"/>
      <c r="C5" s="134" t="s">
        <v>281</v>
      </c>
      <c r="D5" s="134"/>
      <c r="E5" s="134"/>
      <c r="F5" s="127"/>
      <c r="G5" s="127"/>
      <c r="H5" s="127"/>
      <c r="I5" s="16"/>
      <c r="J5" s="16"/>
      <c r="K5" s="16"/>
      <c r="L5" s="16"/>
      <c r="M5" s="16"/>
      <c r="N5" s="21"/>
    </row>
    <row r="6" spans="2:25" x14ac:dyDescent="0.2">
      <c r="B6" s="20"/>
      <c r="C6" s="135"/>
      <c r="D6" s="135"/>
      <c r="E6" s="135"/>
      <c r="F6" s="16"/>
      <c r="G6" s="16"/>
      <c r="H6" s="16"/>
      <c r="I6" s="16"/>
      <c r="J6" s="16"/>
      <c r="K6" s="16"/>
      <c r="L6" s="16"/>
      <c r="M6" s="16"/>
      <c r="N6" s="21"/>
    </row>
    <row r="7" spans="2:25" ht="14.25" x14ac:dyDescent="0.2">
      <c r="B7" s="20"/>
      <c r="C7" s="134" t="s">
        <v>282</v>
      </c>
      <c r="D7" s="134"/>
      <c r="E7" s="134"/>
      <c r="F7" s="16"/>
      <c r="G7" s="16"/>
      <c r="H7" s="16"/>
      <c r="I7" s="16"/>
      <c r="J7" s="16"/>
      <c r="K7" s="16"/>
      <c r="L7" s="16"/>
      <c r="M7" s="16"/>
      <c r="N7" s="21"/>
    </row>
    <row r="8" spans="2:25" x14ac:dyDescent="0.2">
      <c r="B8" s="22"/>
      <c r="C8" s="136"/>
      <c r="D8" s="136"/>
      <c r="E8" s="136"/>
      <c r="F8" s="23"/>
      <c r="G8" s="23"/>
      <c r="H8" s="23"/>
      <c r="I8" s="23"/>
      <c r="J8" s="23"/>
      <c r="K8" s="23"/>
      <c r="L8" s="23"/>
      <c r="M8" s="23"/>
      <c r="N8" s="24"/>
    </row>
    <row r="9" spans="2:25" x14ac:dyDescent="0.2">
      <c r="B9" s="22"/>
      <c r="C9" s="136"/>
      <c r="D9" s="136"/>
      <c r="E9" s="136"/>
      <c r="F9" s="23"/>
      <c r="G9" s="23"/>
      <c r="H9" s="23"/>
      <c r="I9" s="23"/>
      <c r="J9" s="23"/>
      <c r="K9" s="23"/>
      <c r="L9" s="23"/>
      <c r="M9" s="23"/>
      <c r="N9" s="24"/>
    </row>
    <row r="10" spans="2:25" x14ac:dyDescent="0.2">
      <c r="B10" s="22"/>
      <c r="C10" s="136"/>
      <c r="D10" s="136"/>
      <c r="E10" s="136"/>
      <c r="F10" s="23"/>
      <c r="G10" s="23"/>
      <c r="H10" s="23"/>
      <c r="I10" s="23"/>
      <c r="J10" s="23"/>
      <c r="K10" s="23"/>
      <c r="L10" s="23"/>
      <c r="M10" s="23"/>
      <c r="N10" s="24"/>
    </row>
    <row r="11" spans="2:25" x14ac:dyDescent="0.2">
      <c r="B11" s="22"/>
      <c r="C11" s="136"/>
      <c r="D11" s="136"/>
      <c r="E11" s="136"/>
      <c r="F11" s="23"/>
      <c r="G11" s="23"/>
      <c r="H11" s="23"/>
      <c r="I11" s="23"/>
      <c r="J11" s="23"/>
      <c r="K11" s="23"/>
      <c r="L11" s="23"/>
      <c r="M11" s="23"/>
      <c r="N11" s="24"/>
    </row>
    <row r="12" spans="2:25" x14ac:dyDescent="0.2">
      <c r="B12" s="22"/>
      <c r="C12" s="136"/>
      <c r="D12" s="136"/>
      <c r="E12" s="136"/>
      <c r="F12" s="23"/>
      <c r="G12" s="23"/>
      <c r="H12" s="23"/>
      <c r="I12" s="23"/>
      <c r="J12" s="23"/>
      <c r="K12" s="23"/>
      <c r="L12" s="23"/>
      <c r="M12" s="23"/>
      <c r="N12" s="24"/>
    </row>
    <row r="13" spans="2:25" x14ac:dyDescent="0.2">
      <c r="B13" s="22"/>
      <c r="C13" s="136"/>
      <c r="D13" s="136"/>
      <c r="E13" s="136"/>
      <c r="F13" s="23"/>
      <c r="G13" s="23"/>
      <c r="H13" s="23"/>
      <c r="I13" s="23"/>
      <c r="J13" s="23"/>
      <c r="K13" s="23"/>
      <c r="L13" s="23"/>
      <c r="M13" s="23"/>
      <c r="N13" s="24"/>
    </row>
    <row r="14" spans="2:25" x14ac:dyDescent="0.2">
      <c r="B14" s="22"/>
      <c r="C14" s="136"/>
      <c r="D14" s="136"/>
      <c r="E14" s="136"/>
      <c r="F14" s="23"/>
      <c r="G14" s="23"/>
      <c r="H14" s="23"/>
      <c r="I14" s="23"/>
      <c r="J14" s="23"/>
      <c r="K14" s="23"/>
      <c r="L14" s="23"/>
      <c r="M14" s="23"/>
      <c r="N14" s="24"/>
    </row>
    <row r="15" spans="2:25" x14ac:dyDescent="0.2">
      <c r="B15" s="22"/>
      <c r="C15" s="136"/>
      <c r="D15" s="136"/>
      <c r="E15" s="136"/>
      <c r="F15" s="23"/>
      <c r="G15" s="23"/>
      <c r="H15" s="23"/>
      <c r="I15" s="23"/>
      <c r="J15" s="23"/>
      <c r="K15" s="23"/>
      <c r="L15" s="23"/>
      <c r="M15" s="23"/>
      <c r="N15" s="24"/>
    </row>
    <row r="16" spans="2:25" x14ac:dyDescent="0.2">
      <c r="B16" s="22"/>
      <c r="C16" s="136"/>
      <c r="D16" s="136"/>
      <c r="E16" s="136"/>
      <c r="F16" s="23"/>
      <c r="G16" s="23"/>
      <c r="H16" s="23"/>
      <c r="I16" s="23"/>
      <c r="J16" s="23"/>
      <c r="K16" s="23"/>
      <c r="L16" s="23"/>
      <c r="M16" s="23"/>
      <c r="N16" s="24"/>
    </row>
    <row r="17" spans="2:14" x14ac:dyDescent="0.2">
      <c r="B17" s="22"/>
      <c r="C17" s="136"/>
      <c r="D17" s="136"/>
      <c r="E17" s="136"/>
      <c r="F17" s="23"/>
      <c r="G17" s="23"/>
      <c r="H17" s="23"/>
      <c r="I17" s="23"/>
      <c r="J17" s="23"/>
      <c r="K17" s="23"/>
      <c r="L17" s="23"/>
      <c r="M17" s="23"/>
      <c r="N17" s="24"/>
    </row>
    <row r="18" spans="2:14" x14ac:dyDescent="0.2">
      <c r="B18" s="22"/>
      <c r="C18" s="136"/>
      <c r="D18" s="136"/>
      <c r="E18" s="136"/>
      <c r="F18" s="23"/>
      <c r="G18" s="23"/>
      <c r="H18" s="23"/>
      <c r="I18" s="23"/>
      <c r="J18" s="23"/>
      <c r="K18" s="23"/>
      <c r="L18" s="23"/>
      <c r="M18" s="23"/>
      <c r="N18" s="24"/>
    </row>
    <row r="19" spans="2:14" x14ac:dyDescent="0.2">
      <c r="B19" s="22"/>
      <c r="C19" s="136"/>
      <c r="D19" s="136"/>
      <c r="E19" s="136"/>
      <c r="F19" s="23"/>
      <c r="G19" s="23"/>
      <c r="H19" s="23"/>
      <c r="I19" s="23"/>
      <c r="J19" s="23"/>
      <c r="K19" s="23"/>
      <c r="L19" s="23"/>
      <c r="M19" s="23"/>
      <c r="N19" s="24"/>
    </row>
    <row r="20" spans="2:14" x14ac:dyDescent="0.2">
      <c r="B20" s="22"/>
      <c r="C20" s="136"/>
      <c r="D20" s="136"/>
      <c r="E20" s="136"/>
      <c r="F20" s="23"/>
      <c r="G20" s="23"/>
      <c r="H20" s="23"/>
      <c r="I20" s="23"/>
      <c r="J20" s="23"/>
      <c r="K20" s="23"/>
      <c r="L20" s="23"/>
      <c r="M20" s="23"/>
      <c r="N20" s="24"/>
    </row>
    <row r="21" spans="2:14" x14ac:dyDescent="0.2">
      <c r="B21" s="22"/>
      <c r="C21" s="136"/>
      <c r="D21" s="136"/>
      <c r="E21" s="136"/>
      <c r="F21" s="23"/>
      <c r="G21" s="23"/>
      <c r="H21" s="23"/>
      <c r="I21" s="23"/>
      <c r="J21" s="23"/>
      <c r="K21" s="23"/>
      <c r="L21" s="23"/>
      <c r="M21" s="23"/>
      <c r="N21" s="24"/>
    </row>
    <row r="22" spans="2:14" x14ac:dyDescent="0.2">
      <c r="B22" s="22"/>
      <c r="C22" s="136"/>
      <c r="D22" s="136"/>
      <c r="E22" s="136"/>
      <c r="F22" s="23"/>
      <c r="G22" s="23"/>
      <c r="H22" s="23"/>
      <c r="I22" s="23"/>
      <c r="J22" s="23"/>
      <c r="K22" s="23"/>
      <c r="L22" s="23"/>
      <c r="M22" s="23"/>
      <c r="N22" s="24"/>
    </row>
    <row r="23" spans="2:14" x14ac:dyDescent="0.2">
      <c r="B23" s="22"/>
      <c r="C23" s="136"/>
      <c r="D23" s="136"/>
      <c r="E23" s="136"/>
      <c r="F23" s="23"/>
      <c r="G23" s="23"/>
      <c r="H23" s="23"/>
      <c r="I23" s="23"/>
      <c r="J23" s="23"/>
      <c r="K23" s="23"/>
      <c r="L23" s="23"/>
      <c r="M23" s="23"/>
      <c r="N23" s="24"/>
    </row>
    <row r="24" spans="2:14" x14ac:dyDescent="0.2">
      <c r="B24" s="22"/>
      <c r="C24" s="136"/>
      <c r="D24" s="136"/>
      <c r="E24" s="136"/>
      <c r="F24" s="23"/>
      <c r="G24" s="23"/>
      <c r="H24" s="23"/>
      <c r="I24" s="23"/>
      <c r="J24" s="23"/>
      <c r="K24" s="23"/>
      <c r="L24" s="23"/>
      <c r="M24" s="23"/>
      <c r="N24" s="24"/>
    </row>
    <row r="25" spans="2:14" x14ac:dyDescent="0.2">
      <c r="B25" s="22"/>
      <c r="C25" s="136"/>
      <c r="D25" s="136"/>
      <c r="E25" s="136"/>
      <c r="F25" s="23"/>
      <c r="G25" s="23"/>
      <c r="H25" s="23"/>
      <c r="I25" s="23"/>
      <c r="J25" s="23"/>
      <c r="K25" s="23"/>
      <c r="L25" s="23"/>
      <c r="M25" s="23"/>
      <c r="N25" s="24"/>
    </row>
    <row r="26" spans="2:14" x14ac:dyDescent="0.2">
      <c r="B26" s="22"/>
      <c r="C26" s="136"/>
      <c r="D26" s="136"/>
      <c r="E26" s="136"/>
      <c r="F26" s="23"/>
      <c r="G26" s="23"/>
      <c r="H26" s="23"/>
      <c r="I26" s="23"/>
      <c r="J26" s="23"/>
      <c r="K26" s="23"/>
      <c r="L26" s="23"/>
      <c r="M26" s="23"/>
      <c r="N26" s="24"/>
    </row>
    <row r="27" spans="2:14" x14ac:dyDescent="0.2">
      <c r="B27" s="22"/>
      <c r="C27" s="136"/>
      <c r="D27" s="136"/>
      <c r="E27" s="136"/>
      <c r="F27" s="23"/>
      <c r="G27" s="23"/>
      <c r="H27" s="23"/>
      <c r="I27" s="23"/>
      <c r="J27" s="23"/>
      <c r="K27" s="23"/>
      <c r="L27" s="23"/>
      <c r="M27" s="23"/>
      <c r="N27" s="24"/>
    </row>
    <row r="28" spans="2:14" x14ac:dyDescent="0.2">
      <c r="B28" s="22"/>
      <c r="C28" s="136"/>
      <c r="D28" s="136"/>
      <c r="E28" s="136"/>
      <c r="F28" s="23"/>
      <c r="G28" s="23"/>
      <c r="H28" s="23"/>
      <c r="I28" s="23"/>
      <c r="J28" s="23"/>
      <c r="K28" s="23"/>
      <c r="L28" s="23"/>
      <c r="M28" s="23"/>
      <c r="N28" s="24"/>
    </row>
    <row r="29" spans="2:14" x14ac:dyDescent="0.2">
      <c r="B29" s="22"/>
      <c r="C29" s="136"/>
      <c r="D29" s="136"/>
      <c r="E29" s="136"/>
      <c r="F29" s="23"/>
      <c r="G29" s="23"/>
      <c r="H29" s="23"/>
      <c r="I29" s="23"/>
      <c r="J29" s="23"/>
      <c r="K29" s="23"/>
      <c r="L29" s="23"/>
      <c r="M29" s="23"/>
      <c r="N29" s="24"/>
    </row>
    <row r="30" spans="2:14" x14ac:dyDescent="0.2">
      <c r="B30" s="22"/>
      <c r="C30" s="136"/>
      <c r="D30" s="136"/>
      <c r="E30" s="136"/>
      <c r="F30" s="23"/>
      <c r="G30" s="23"/>
      <c r="H30" s="23"/>
      <c r="I30" s="23"/>
      <c r="J30" s="23"/>
      <c r="K30" s="23"/>
      <c r="L30" s="23"/>
      <c r="M30" s="23"/>
      <c r="N30" s="24"/>
    </row>
    <row r="31" spans="2:14" x14ac:dyDescent="0.2">
      <c r="B31" s="22"/>
      <c r="C31" s="136"/>
      <c r="D31" s="136"/>
      <c r="E31" s="136"/>
      <c r="F31" s="23"/>
      <c r="G31" s="23"/>
      <c r="H31" s="23"/>
      <c r="I31" s="23"/>
      <c r="J31" s="23"/>
      <c r="K31" s="23"/>
      <c r="L31" s="23"/>
      <c r="M31" s="23"/>
      <c r="N31" s="24"/>
    </row>
    <row r="32" spans="2:14" x14ac:dyDescent="0.2">
      <c r="B32" s="22"/>
      <c r="C32" s="136"/>
      <c r="D32" s="136"/>
      <c r="E32" s="136"/>
      <c r="F32" s="23"/>
      <c r="G32" s="23"/>
      <c r="H32" s="23"/>
      <c r="I32" s="23"/>
      <c r="J32" s="23"/>
      <c r="K32" s="23"/>
      <c r="L32" s="23"/>
      <c r="M32" s="23"/>
      <c r="N32" s="24"/>
    </row>
    <row r="33" spans="2:14" x14ac:dyDescent="0.2">
      <c r="B33" s="22"/>
      <c r="C33" s="136"/>
      <c r="D33" s="136"/>
      <c r="E33" s="136"/>
      <c r="F33" s="23"/>
      <c r="G33" s="23"/>
      <c r="H33" s="23"/>
      <c r="I33" s="23"/>
      <c r="J33" s="23"/>
      <c r="K33" s="23"/>
      <c r="L33" s="23"/>
      <c r="M33" s="23"/>
      <c r="N33" s="24"/>
    </row>
    <row r="34" spans="2:14" x14ac:dyDescent="0.2">
      <c r="B34" s="22"/>
      <c r="C34" s="136"/>
      <c r="D34" s="136"/>
      <c r="E34" s="136"/>
      <c r="F34" s="23"/>
      <c r="G34" s="23"/>
      <c r="H34" s="23"/>
      <c r="I34" s="23"/>
      <c r="J34" s="23"/>
      <c r="K34" s="23"/>
      <c r="L34" s="23"/>
      <c r="M34" s="23"/>
      <c r="N34" s="24"/>
    </row>
    <row r="35" spans="2:14" x14ac:dyDescent="0.2">
      <c r="B35" s="22"/>
      <c r="C35" s="136"/>
      <c r="D35" s="136"/>
      <c r="E35" s="136"/>
      <c r="F35" s="23"/>
      <c r="G35" s="23"/>
      <c r="H35" s="23"/>
      <c r="I35" s="23"/>
      <c r="J35" s="23"/>
      <c r="K35" s="23"/>
      <c r="L35" s="23"/>
      <c r="M35" s="23"/>
      <c r="N35" s="24"/>
    </row>
    <row r="36" spans="2:14" x14ac:dyDescent="0.2">
      <c r="B36" s="22"/>
      <c r="C36" s="136"/>
      <c r="D36" s="136"/>
      <c r="E36" s="136"/>
      <c r="F36" s="23"/>
      <c r="G36" s="23"/>
      <c r="H36" s="23"/>
      <c r="I36" s="23"/>
      <c r="J36" s="23"/>
      <c r="K36" s="23"/>
      <c r="L36" s="23"/>
      <c r="M36" s="23"/>
      <c r="N36" s="24"/>
    </row>
    <row r="37" spans="2:14" x14ac:dyDescent="0.2">
      <c r="B37" s="22"/>
      <c r="C37" s="136"/>
      <c r="D37" s="136"/>
      <c r="E37" s="136"/>
      <c r="F37" s="23"/>
      <c r="G37" s="23"/>
      <c r="H37" s="23"/>
      <c r="I37" s="23"/>
      <c r="J37" s="23"/>
      <c r="K37" s="23"/>
      <c r="L37" s="23"/>
      <c r="M37" s="23"/>
      <c r="N37" s="24"/>
    </row>
    <row r="38" spans="2:14" x14ac:dyDescent="0.2"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/>
    </row>
    <row r="39" spans="2:14" x14ac:dyDescent="0.2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4"/>
    </row>
    <row r="40" spans="2:14" x14ac:dyDescent="0.2">
      <c r="B40" s="2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4"/>
    </row>
    <row r="41" spans="2:14" ht="13.5" thickBot="1" x14ac:dyDescent="0.25"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7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LEVANTAMENTO</vt:lpstr>
      <vt:lpstr>ORÇAMENTO</vt:lpstr>
      <vt:lpstr>FÍSICO x FINANCEIRO</vt:lpstr>
      <vt:lpstr>CURVA "S"</vt:lpstr>
      <vt:lpstr>CURVA "V"</vt:lpstr>
      <vt:lpstr>'CURVA "S"'!Area_de_impressao</vt:lpstr>
      <vt:lpstr>'FÍSICO x FINANCEIRO'!Area_de_impressao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2010-07-16T02:49:10Z</cp:lastPrinted>
  <dcterms:created xsi:type="dcterms:W3CDTF">2008-11-21T20:06:07Z</dcterms:created>
  <dcterms:modified xsi:type="dcterms:W3CDTF">2022-04-10T02:45:56Z</dcterms:modified>
</cp:coreProperties>
</file>