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0" yWindow="0" windowWidth="20490" windowHeight="7650" tabRatio="721" firstSheet="6" activeTab="11"/>
  </bookViews>
  <sheets>
    <sheet name="LEVANTAMENTO" sheetId="1" state="hidden" r:id="rId1"/>
    <sheet name="ORÇAMENTO" sheetId="2" r:id="rId2"/>
    <sheet name="FÍSICO x FINANCEIRO" sheetId="3" r:id="rId3"/>
    <sheet name="CURVA &quot;S&quot;" sheetId="4" r:id="rId4"/>
    <sheet name="CURVA &quot;V&quot;" sheetId="5" r:id="rId5"/>
    <sheet name="FÍSICO SEMANAL" sheetId="6" r:id="rId6"/>
    <sheet name="Dados de Físico Semanal" sheetId="7" r:id="rId7"/>
    <sheet name="List_Materiais" sheetId="8" r:id="rId8"/>
    <sheet name="List._Materiais" sheetId="16" r:id="rId9"/>
    <sheet name="List_Ferramentas" sheetId="10" r:id="rId10"/>
    <sheet name="CUST_Geral_M_OBRA" sheetId="11" r:id="rId11"/>
    <sheet name="CUST_Diário_M_Obra" sheetId="15" r:id="rId12"/>
    <sheet name="RDO" sheetId="12" r:id="rId13"/>
    <sheet name="Ordem de Serviço" sheetId="13" r:id="rId14"/>
    <sheet name="Plan1" sheetId="14" r:id="rId15"/>
  </sheets>
  <externalReferences>
    <externalReference r:id="rId16"/>
  </externalReferences>
  <definedNames>
    <definedName name="_xlnm.Print_Area" localSheetId="3">'CURVA "S"'!$B$4:$N$41</definedName>
    <definedName name="_xlnm.Print_Area" localSheetId="2">'FÍSICO x FINANCEIRO'!$B$1:$Z$47</definedName>
    <definedName name="areia">List._Materiais!$B$45:$I$77</definedName>
    <definedName name="argamassa">List._Materiais!$B$115:$I$147</definedName>
    <definedName name="cimento">List._Materiais!$B$10:$I$42</definedName>
    <definedName name="Diario_01">RDO!$B$5:$L$86</definedName>
    <definedName name="Diario_02">RDO!$B$89:$L$172</definedName>
    <definedName name="Diario_03">RDO!$B$175:$L$260</definedName>
    <definedName name="Diario_04">RDO!$B$263:$L$348</definedName>
    <definedName name="Diario_05">RDO!$B$351:$L$437</definedName>
    <definedName name="Diario_06">RDO!$B$440:$L$528</definedName>
    <definedName name="Diario_07">RDO!$B$531:$L$624</definedName>
    <definedName name="Diario_08">RDO!$B$627:$L$711</definedName>
    <definedName name="Diario_09">RDO!$B$714:$L$800</definedName>
    <definedName name="Diario_10">RDO!$B$803:$L$890</definedName>
    <definedName name="Diario_11">RDO!$B$893:$L$980</definedName>
    <definedName name="tijolo">List._Materiais!$B$80:$I$112</definedName>
    <definedName name="_xlnm.Print_Titles" localSheetId="0">LEVANTAMENTO!$2:$5</definedName>
    <definedName name="_xlnm.Print_Titles" localSheetId="1">ORÇAMENTO!$1:$5</definedName>
  </definedNames>
  <calcPr calcId="145621"/>
</workbook>
</file>

<file path=xl/calcChain.xml><?xml version="1.0" encoding="utf-8"?>
<calcChain xmlns="http://schemas.openxmlformats.org/spreadsheetml/2006/main">
  <c r="R7" i="15" l="1"/>
  <c r="P7" i="15"/>
  <c r="O7" i="15"/>
  <c r="N7" i="15"/>
  <c r="M7" i="15"/>
  <c r="K7" i="15"/>
  <c r="J7" i="15"/>
  <c r="I7" i="15"/>
  <c r="H7" i="15"/>
  <c r="G7" i="15"/>
  <c r="F7" i="15"/>
  <c r="F9" i="15" l="1"/>
  <c r="G9" i="15"/>
  <c r="H9" i="15"/>
  <c r="I9" i="15"/>
  <c r="J9" i="15"/>
  <c r="K9" i="15"/>
  <c r="M9" i="15"/>
  <c r="N9" i="15"/>
  <c r="P9" i="15"/>
  <c r="R9" i="15"/>
  <c r="F159" i="15"/>
  <c r="G159" i="15"/>
  <c r="H159" i="15"/>
  <c r="I159" i="15"/>
  <c r="J159" i="15"/>
  <c r="K159" i="15"/>
  <c r="M159" i="15"/>
  <c r="N159" i="15"/>
  <c r="P159" i="15"/>
  <c r="R159" i="15"/>
  <c r="G10" i="15" l="1"/>
  <c r="H10" i="15"/>
  <c r="I10" i="15"/>
  <c r="J10" i="15"/>
  <c r="K10" i="15"/>
  <c r="M10" i="15"/>
  <c r="N10" i="15"/>
  <c r="P10" i="15"/>
  <c r="R10" i="15"/>
  <c r="E108" i="15" l="1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D108" i="15"/>
  <c r="E153" i="15"/>
  <c r="F153" i="15"/>
  <c r="F108" i="15" s="1"/>
  <c r="G153" i="15"/>
  <c r="H153" i="15"/>
  <c r="I153" i="15"/>
  <c r="J153" i="15"/>
  <c r="K153" i="15"/>
  <c r="L153" i="15"/>
  <c r="M153" i="15"/>
  <c r="N153" i="15"/>
  <c r="O153" i="15"/>
  <c r="P153" i="15"/>
  <c r="Q153" i="15"/>
  <c r="R153" i="15"/>
  <c r="D153" i="15"/>
  <c r="D109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R47" i="15"/>
  <c r="D47" i="15"/>
  <c r="F48" i="15"/>
  <c r="F49" i="15"/>
  <c r="E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D48" i="15"/>
  <c r="C204" i="15" l="1"/>
  <c r="C205" i="15" s="1"/>
  <c r="C202" i="15"/>
  <c r="C201" i="15"/>
  <c r="C200" i="15"/>
  <c r="C199" i="15"/>
  <c r="C198" i="15"/>
  <c r="C197" i="15"/>
  <c r="C196" i="15"/>
  <c r="C194" i="15"/>
  <c r="C195" i="15" s="1"/>
  <c r="C192" i="15"/>
  <c r="C191" i="15"/>
  <c r="C190" i="15"/>
  <c r="C189" i="15"/>
  <c r="C188" i="15"/>
  <c r="C187" i="15"/>
  <c r="C186" i="15"/>
  <c r="C7" i="15" l="1"/>
  <c r="C184" i="15" l="1"/>
  <c r="C185" i="15" s="1"/>
  <c r="C177" i="15"/>
  <c r="C178" i="15"/>
  <c r="C179" i="15"/>
  <c r="C180" i="15"/>
  <c r="C181" i="15"/>
  <c r="C182" i="15"/>
  <c r="C176" i="15"/>
  <c r="C174" i="15"/>
  <c r="C175" i="15" s="1"/>
  <c r="C168" i="15"/>
  <c r="C169" i="15"/>
  <c r="C170" i="15"/>
  <c r="C171" i="15"/>
  <c r="C172" i="15"/>
  <c r="C167" i="15"/>
  <c r="C166" i="15"/>
  <c r="C162" i="15"/>
  <c r="C161" i="15"/>
  <c r="P6" i="15" l="1"/>
  <c r="Q6" i="15"/>
  <c r="R6" i="15"/>
  <c r="N6" i="15"/>
  <c r="O6" i="15"/>
  <c r="M6" i="15"/>
  <c r="J6" i="15"/>
  <c r="K6" i="15"/>
  <c r="L6" i="15"/>
  <c r="I6" i="15"/>
  <c r="H6" i="15"/>
  <c r="G6" i="15"/>
  <c r="F6" i="15"/>
  <c r="E6" i="15"/>
  <c r="D6" i="15" l="1"/>
  <c r="C143" i="15"/>
  <c r="C134" i="15"/>
  <c r="C133" i="15"/>
  <c r="C132" i="15"/>
  <c r="C131" i="15"/>
  <c r="C124" i="15"/>
  <c r="C123" i="15"/>
  <c r="C122" i="15"/>
  <c r="C121" i="15"/>
  <c r="C130" i="15"/>
  <c r="C118" i="15" l="1"/>
  <c r="C90" i="15"/>
  <c r="C111" i="15" l="1"/>
  <c r="E24" i="15" l="1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D24" i="15"/>
  <c r="E23" i="15" l="1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D23" i="15"/>
  <c r="C112" i="15"/>
  <c r="C51" i="15"/>
  <c r="C18" i="15"/>
  <c r="C17" i="15"/>
  <c r="E16" i="15" l="1"/>
  <c r="G16" i="15"/>
  <c r="H16" i="15"/>
  <c r="I16" i="15"/>
  <c r="K16" i="15"/>
  <c r="L16" i="15"/>
  <c r="M16" i="15"/>
  <c r="P16" i="15"/>
  <c r="D16" i="15"/>
  <c r="J16" i="15"/>
  <c r="O16" i="15"/>
  <c r="Q16" i="15"/>
  <c r="R16" i="15"/>
  <c r="F16" i="15" l="1"/>
  <c r="N16" i="15"/>
  <c r="D77" i="16"/>
  <c r="L6" i="16"/>
  <c r="L5" i="16"/>
  <c r="C6" i="16"/>
  <c r="C5" i="16"/>
  <c r="K146" i="16"/>
  <c r="K145" i="16"/>
  <c r="K144" i="16"/>
  <c r="K143" i="16"/>
  <c r="K142" i="16"/>
  <c r="K141" i="16"/>
  <c r="K140" i="16"/>
  <c r="K139" i="16"/>
  <c r="K138" i="16"/>
  <c r="K137" i="16"/>
  <c r="K136" i="16"/>
  <c r="K135" i="16"/>
  <c r="K134" i="16"/>
  <c r="K133" i="16"/>
  <c r="K132" i="16"/>
  <c r="K131" i="16"/>
  <c r="K130" i="16"/>
  <c r="K129" i="16"/>
  <c r="K128" i="16"/>
  <c r="K127" i="16"/>
  <c r="K126" i="16"/>
  <c r="K125" i="16"/>
  <c r="K124" i="16"/>
  <c r="K123" i="16"/>
  <c r="K122" i="16"/>
  <c r="K121" i="16"/>
  <c r="K120" i="16"/>
  <c r="K118" i="16"/>
  <c r="K117" i="16"/>
  <c r="K111" i="16"/>
  <c r="K110" i="16"/>
  <c r="K109" i="16"/>
  <c r="K108" i="16"/>
  <c r="K107" i="16"/>
  <c r="K106" i="16"/>
  <c r="K105" i="16"/>
  <c r="K104" i="16"/>
  <c r="K103" i="16"/>
  <c r="K102" i="16"/>
  <c r="K101" i="16"/>
  <c r="K100" i="16"/>
  <c r="K99" i="16"/>
  <c r="K98" i="16"/>
  <c r="K97" i="16"/>
  <c r="K96" i="16"/>
  <c r="K95" i="16"/>
  <c r="K94" i="16"/>
  <c r="K93" i="16"/>
  <c r="K92" i="16"/>
  <c r="K91" i="16"/>
  <c r="K90" i="16"/>
  <c r="K89" i="16"/>
  <c r="K88" i="16"/>
  <c r="K87" i="16"/>
  <c r="K86" i="16"/>
  <c r="K85" i="16"/>
  <c r="K83" i="16"/>
  <c r="K82" i="16"/>
  <c r="K76" i="16"/>
  <c r="K75" i="16"/>
  <c r="K74" i="16"/>
  <c r="K73" i="16"/>
  <c r="K72" i="16"/>
  <c r="K71" i="16"/>
  <c r="K70" i="16"/>
  <c r="K69" i="16"/>
  <c r="K68" i="16"/>
  <c r="K67" i="16"/>
  <c r="K66" i="16"/>
  <c r="K65" i="16"/>
  <c r="K64" i="16"/>
  <c r="K63" i="16"/>
  <c r="K62" i="16"/>
  <c r="K61" i="16"/>
  <c r="K60" i="16"/>
  <c r="K59" i="16"/>
  <c r="K58" i="16"/>
  <c r="K57" i="16"/>
  <c r="K56" i="16"/>
  <c r="K55" i="16"/>
  <c r="K54" i="16"/>
  <c r="K53" i="16"/>
  <c r="K52" i="16"/>
  <c r="K51" i="16"/>
  <c r="K50" i="16"/>
  <c r="K48" i="16"/>
  <c r="K47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3" i="16"/>
  <c r="K12" i="16"/>
  <c r="B146" i="16"/>
  <c r="B145" i="16"/>
  <c r="B144" i="16"/>
  <c r="B143" i="16"/>
  <c r="B142" i="16"/>
  <c r="B141" i="16"/>
  <c r="B140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8" i="16"/>
  <c r="B117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3" i="16"/>
  <c r="B82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24" i="16"/>
  <c r="B25" i="16"/>
  <c r="B26" i="16"/>
  <c r="B27" i="16"/>
  <c r="B28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11" i="16"/>
  <c r="D11" i="11"/>
  <c r="D12" i="11"/>
  <c r="D13" i="11"/>
  <c r="D14" i="11"/>
  <c r="D15" i="11"/>
  <c r="D16" i="11"/>
  <c r="D18" i="11"/>
  <c r="D19" i="11"/>
  <c r="D20" i="11"/>
  <c r="D21" i="11"/>
  <c r="D22" i="11"/>
  <c r="D23" i="11"/>
  <c r="D24" i="11"/>
  <c r="E7" i="8"/>
  <c r="B77" i="16" l="1"/>
  <c r="B42" i="16"/>
  <c r="C152" i="15"/>
  <c r="C151" i="15"/>
  <c r="C150" i="15"/>
  <c r="C149" i="15"/>
  <c r="C148" i="15"/>
  <c r="C144" i="15"/>
  <c r="C142" i="15"/>
  <c r="C141" i="15"/>
  <c r="C140" i="15"/>
  <c r="C139" i="15"/>
  <c r="C138" i="15"/>
  <c r="C129" i="15"/>
  <c r="C128" i="15"/>
  <c r="C120" i="15"/>
  <c r="C119" i="15"/>
  <c r="C114" i="15"/>
  <c r="C113" i="15"/>
  <c r="C19" i="15" l="1"/>
  <c r="C20" i="15"/>
  <c r="C21" i="15"/>
  <c r="C22" i="15"/>
  <c r="C27" i="15"/>
  <c r="C28" i="15"/>
  <c r="C29" i="15"/>
  <c r="C30" i="15"/>
  <c r="C31" i="15"/>
  <c r="C32" i="15"/>
  <c r="C52" i="15"/>
  <c r="C53" i="15"/>
  <c r="C54" i="15"/>
  <c r="C55" i="15"/>
  <c r="C56" i="15"/>
  <c r="C61" i="15"/>
  <c r="C62" i="15"/>
  <c r="C63" i="15"/>
  <c r="C64" i="15"/>
  <c r="C65" i="15"/>
  <c r="C66" i="15"/>
  <c r="C71" i="15"/>
  <c r="C72" i="15"/>
  <c r="C73" i="15"/>
  <c r="C74" i="15"/>
  <c r="C75" i="15"/>
  <c r="C76" i="15"/>
  <c r="C81" i="15"/>
  <c r="C82" i="15"/>
  <c r="C83" i="15"/>
  <c r="C84" i="15"/>
  <c r="C85" i="15"/>
  <c r="C86" i="15"/>
  <c r="C91" i="15"/>
  <c r="C92" i="15"/>
  <c r="N29" i="11" l="1"/>
  <c r="N28" i="11"/>
  <c r="N27" i="11"/>
  <c r="N26" i="11"/>
  <c r="N25" i="11"/>
  <c r="N24" i="11"/>
  <c r="N23" i="11"/>
  <c r="N18" i="11"/>
  <c r="N19" i="11"/>
  <c r="N20" i="11"/>
  <c r="N21" i="11"/>
  <c r="N22" i="11"/>
  <c r="N12" i="11"/>
  <c r="N13" i="11"/>
  <c r="N14" i="11"/>
  <c r="N15" i="11"/>
  <c r="N16" i="11"/>
  <c r="N17" i="11"/>
  <c r="N11" i="11"/>
  <c r="M12" i="11"/>
  <c r="M14" i="11"/>
  <c r="M15" i="11"/>
  <c r="M16" i="11"/>
  <c r="M17" i="11"/>
  <c r="M24" i="11"/>
  <c r="M25" i="11"/>
  <c r="M26" i="11"/>
  <c r="M27" i="11"/>
  <c r="M28" i="11"/>
  <c r="M29" i="11"/>
  <c r="D26" i="11"/>
  <c r="D25" i="11"/>
  <c r="R24" i="11"/>
  <c r="P11" i="8" l="1"/>
  <c r="O11" i="8" s="1"/>
  <c r="P12" i="8"/>
  <c r="O12" i="8" s="1"/>
  <c r="P13" i="8"/>
  <c r="P14" i="8"/>
  <c r="P15" i="8"/>
  <c r="P16" i="8"/>
  <c r="P17" i="8"/>
  <c r="O17" i="8" s="1"/>
  <c r="D28" i="8"/>
  <c r="D29" i="8"/>
  <c r="D30" i="8"/>
  <c r="D31" i="8"/>
  <c r="C31" i="8" s="1"/>
  <c r="D32" i="8"/>
  <c r="C32" i="8" s="1"/>
  <c r="D33" i="8"/>
  <c r="C33" i="8" s="1"/>
  <c r="D34" i="8"/>
  <c r="C34" i="8" s="1"/>
  <c r="D35" i="8"/>
  <c r="C35" i="8" s="1"/>
  <c r="D36" i="8"/>
  <c r="C36" i="8" s="1"/>
  <c r="D37" i="8"/>
  <c r="C37" i="8" s="1"/>
  <c r="D38" i="8"/>
  <c r="D39" i="8"/>
  <c r="C39" i="8" s="1"/>
  <c r="D40" i="8"/>
  <c r="C40" i="8" s="1"/>
  <c r="D41" i="8"/>
  <c r="C41" i="8" s="1"/>
  <c r="D42" i="8"/>
  <c r="C42" i="8" s="1"/>
  <c r="D43" i="8"/>
  <c r="C43" i="8" s="1"/>
  <c r="D44" i="8"/>
  <c r="C44" i="8" s="1"/>
  <c r="D24" i="10"/>
  <c r="D18" i="8"/>
  <c r="D19" i="8"/>
  <c r="D20" i="8"/>
  <c r="D21" i="8"/>
  <c r="D22" i="8"/>
  <c r="D23" i="8"/>
  <c r="C23" i="8" s="1"/>
  <c r="D24" i="8"/>
  <c r="C24" i="8" s="1"/>
  <c r="D25" i="8"/>
  <c r="C25" i="8" s="1"/>
  <c r="D26" i="8"/>
  <c r="C26" i="8" s="1"/>
  <c r="D27" i="8"/>
  <c r="C27" i="8" s="1"/>
  <c r="D17" i="8"/>
  <c r="E1" i="8"/>
  <c r="O15" i="8" l="1"/>
  <c r="O13" i="8"/>
  <c r="O16" i="8"/>
  <c r="O14" i="8"/>
  <c r="D16" i="8"/>
  <c r="D15" i="8"/>
  <c r="D14" i="8"/>
  <c r="D13" i="8"/>
  <c r="D12" i="10"/>
  <c r="D13" i="10"/>
  <c r="D14" i="10"/>
  <c r="D15" i="10"/>
  <c r="D16" i="10"/>
  <c r="D17" i="10"/>
  <c r="D18" i="10"/>
  <c r="D19" i="10"/>
  <c r="D20" i="10"/>
  <c r="D21" i="10"/>
  <c r="D22" i="10"/>
  <c r="D23" i="10"/>
  <c r="D25" i="10"/>
  <c r="D26" i="10"/>
  <c r="D27" i="10"/>
  <c r="D28" i="10"/>
  <c r="D29" i="10"/>
  <c r="D30" i="10"/>
  <c r="D31" i="10"/>
  <c r="C31" i="10" s="1"/>
  <c r="D32" i="10"/>
  <c r="D33" i="10"/>
  <c r="C33" i="10" s="1"/>
  <c r="D12" i="8"/>
  <c r="D11" i="10"/>
  <c r="D11" i="8"/>
  <c r="C11" i="8" s="1"/>
  <c r="Q8" i="8"/>
  <c r="Q7" i="8"/>
  <c r="I31" i="10"/>
  <c r="C17" i="11"/>
  <c r="I23" i="10"/>
  <c r="I24" i="10"/>
  <c r="I25" i="10"/>
  <c r="I26" i="10"/>
  <c r="I27" i="10"/>
  <c r="I28" i="10"/>
  <c r="I29" i="10"/>
  <c r="I30" i="10"/>
  <c r="I32" i="10"/>
  <c r="I33" i="10"/>
  <c r="I15" i="10"/>
  <c r="I16" i="10"/>
  <c r="I17" i="10"/>
  <c r="I18" i="10"/>
  <c r="I19" i="10"/>
  <c r="I20" i="10"/>
  <c r="I21" i="10"/>
  <c r="I22" i="10"/>
  <c r="L936" i="12"/>
  <c r="I936" i="12"/>
  <c r="L927" i="12"/>
  <c r="L918" i="12"/>
  <c r="L897" i="12"/>
  <c r="L898" i="12" s="1"/>
  <c r="L896" i="12"/>
  <c r="K894" i="12"/>
  <c r="L846" i="12"/>
  <c r="I846" i="12"/>
  <c r="L837" i="12"/>
  <c r="L838" i="12" s="1"/>
  <c r="L828" i="12"/>
  <c r="L807" i="12"/>
  <c r="L806" i="12"/>
  <c r="K804" i="12"/>
  <c r="L937" i="12" l="1"/>
  <c r="C21" i="8"/>
  <c r="L847" i="12"/>
  <c r="C22" i="8"/>
  <c r="L928" i="12"/>
  <c r="C38" i="8"/>
  <c r="C28" i="8"/>
  <c r="C29" i="8"/>
  <c r="C18" i="8"/>
  <c r="C30" i="8"/>
  <c r="C20" i="8"/>
  <c r="C19" i="8"/>
  <c r="E2" i="8"/>
  <c r="C20" i="10"/>
  <c r="C29" i="10"/>
  <c r="C18" i="10"/>
  <c r="C27" i="10"/>
  <c r="C16" i="10"/>
  <c r="C25" i="10"/>
  <c r="C22" i="10"/>
  <c r="C15" i="10"/>
  <c r="C14" i="10"/>
  <c r="C11" i="10"/>
  <c r="C30" i="10"/>
  <c r="C26" i="10"/>
  <c r="C21" i="10"/>
  <c r="C17" i="10"/>
  <c r="C13" i="10"/>
  <c r="C12" i="10"/>
  <c r="C32" i="10"/>
  <c r="C28" i="10"/>
  <c r="C24" i="10"/>
  <c r="C23" i="10"/>
  <c r="C19" i="10"/>
  <c r="C17" i="8"/>
  <c r="C16" i="8"/>
  <c r="C12" i="8"/>
  <c r="C15" i="8"/>
  <c r="C14" i="8"/>
  <c r="C13" i="8"/>
  <c r="L808" i="12"/>
  <c r="L757" i="12" l="1"/>
  <c r="L758" i="12" s="1"/>
  <c r="I757" i="12"/>
  <c r="L748" i="12"/>
  <c r="L739" i="12"/>
  <c r="L718" i="12"/>
  <c r="L719" i="12" s="1"/>
  <c r="L717" i="12"/>
  <c r="K715" i="12"/>
  <c r="L670" i="12"/>
  <c r="I670" i="12"/>
  <c r="L661" i="12"/>
  <c r="L652" i="12"/>
  <c r="L631" i="12"/>
  <c r="L630" i="12"/>
  <c r="K628" i="12"/>
  <c r="L749" i="12" l="1"/>
  <c r="L671" i="12"/>
  <c r="L662" i="12"/>
  <c r="L632" i="12"/>
  <c r="L574" i="12"/>
  <c r="I574" i="12"/>
  <c r="L565" i="12"/>
  <c r="L556" i="12"/>
  <c r="L535" i="12"/>
  <c r="L534" i="12"/>
  <c r="K532" i="12"/>
  <c r="L536" i="12" l="1"/>
  <c r="L566" i="12"/>
  <c r="L575" i="12"/>
  <c r="L444" i="12" l="1"/>
  <c r="L483" i="12"/>
  <c r="I483" i="12"/>
  <c r="L474" i="12"/>
  <c r="L465" i="12"/>
  <c r="L443" i="12"/>
  <c r="K441" i="12"/>
  <c r="L484" i="12" l="1"/>
  <c r="L475" i="12"/>
  <c r="L445" i="12"/>
  <c r="D10" i="6" l="1"/>
  <c r="J16" i="11" l="1"/>
  <c r="K16" i="11" s="1"/>
  <c r="J17" i="11"/>
  <c r="K17" i="11" s="1"/>
  <c r="C25" i="11"/>
  <c r="C26" i="11"/>
  <c r="C27" i="11"/>
  <c r="C28" i="11"/>
  <c r="C29" i="11"/>
  <c r="C30" i="11"/>
  <c r="C11" i="11"/>
  <c r="L31" i="11"/>
  <c r="J13" i="1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K24" i="11" s="1"/>
  <c r="J23" i="11"/>
  <c r="J22" i="11"/>
  <c r="J21" i="11"/>
  <c r="J20" i="11"/>
  <c r="J19" i="11"/>
  <c r="J18" i="11"/>
  <c r="J15" i="11"/>
  <c r="K15" i="11" s="1"/>
  <c r="J14" i="11"/>
  <c r="K14" i="11" s="1"/>
  <c r="J12" i="11"/>
  <c r="K12" i="11" s="1"/>
  <c r="J11" i="11"/>
  <c r="C12" i="11" l="1"/>
  <c r="C16" i="11"/>
  <c r="C14" i="11"/>
  <c r="C24" i="11"/>
  <c r="C15" i="11"/>
  <c r="C23" i="11"/>
  <c r="C22" i="11"/>
  <c r="C13" i="11"/>
  <c r="C21" i="11"/>
  <c r="C19" i="11"/>
  <c r="C20" i="11"/>
  <c r="C18" i="11"/>
  <c r="F2" i="11"/>
  <c r="L394" i="12"/>
  <c r="I394" i="12"/>
  <c r="L385" i="12"/>
  <c r="L376" i="12"/>
  <c r="L386" i="12" s="1"/>
  <c r="L355" i="12"/>
  <c r="L354" i="12"/>
  <c r="K352" i="12"/>
  <c r="C31" i="11" l="1"/>
  <c r="L395" i="12"/>
  <c r="L356" i="12"/>
  <c r="L306" i="12"/>
  <c r="I306" i="12"/>
  <c r="L297" i="12"/>
  <c r="L288" i="12"/>
  <c r="L267" i="12"/>
  <c r="L266" i="12"/>
  <c r="K264" i="12"/>
  <c r="L298" i="12" l="1"/>
  <c r="L268" i="12"/>
  <c r="L307" i="12"/>
  <c r="D30" i="14" l="1"/>
  <c r="L218" i="12"/>
  <c r="I218" i="12"/>
  <c r="L209" i="12"/>
  <c r="L200" i="12"/>
  <c r="L179" i="12"/>
  <c r="L178" i="12"/>
  <c r="K176" i="12"/>
  <c r="L210" i="12" l="1"/>
  <c r="L180" i="12"/>
  <c r="L219" i="12"/>
  <c r="L134" i="12"/>
  <c r="I134" i="12"/>
  <c r="L125" i="12"/>
  <c r="L113" i="12"/>
  <c r="L93" i="12"/>
  <c r="L92" i="12"/>
  <c r="K90" i="12"/>
  <c r="L126" i="12" l="1"/>
  <c r="L135" i="12"/>
  <c r="L94" i="12"/>
  <c r="L9" i="12"/>
  <c r="D7" i="6"/>
  <c r="D6" i="6"/>
  <c r="E8" i="8"/>
  <c r="E8" i="10"/>
  <c r="E7" i="10"/>
  <c r="L8" i="12" l="1"/>
  <c r="L10" i="12" l="1"/>
  <c r="L48" i="12"/>
  <c r="I48" i="12"/>
  <c r="L39" i="12"/>
  <c r="L30" i="12"/>
  <c r="K6" i="12"/>
  <c r="L49" i="12" l="1"/>
  <c r="L40" i="12"/>
  <c r="C6" i="3"/>
  <c r="I7" i="3" s="1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Z21" i="3"/>
  <c r="AA21" i="3"/>
  <c r="AB21" i="3"/>
  <c r="AC21" i="3"/>
  <c r="AD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Z45" i="3"/>
  <c r="Z44" i="3" s="1"/>
  <c r="AA45" i="3"/>
  <c r="AA44" i="3" s="1"/>
  <c r="AB45" i="3"/>
  <c r="AB44" i="3" s="1"/>
  <c r="AC45" i="3"/>
  <c r="AC44" i="3" s="1"/>
  <c r="AD45" i="3"/>
  <c r="AD44" i="3" s="1"/>
  <c r="AE45" i="3"/>
  <c r="AE44" i="3" s="1"/>
  <c r="AF45" i="3"/>
  <c r="AF44" i="3" s="1"/>
  <c r="AG45" i="3"/>
  <c r="AG44" i="3" s="1"/>
  <c r="AH45" i="3"/>
  <c r="AH44" i="3" s="1"/>
  <c r="AI45" i="3"/>
  <c r="AI44" i="3" s="1"/>
  <c r="AJ45" i="3"/>
  <c r="AJ44" i="3" s="1"/>
  <c r="AK45" i="3"/>
  <c r="AK44" i="3" s="1"/>
  <c r="AL45" i="3"/>
  <c r="AL44" i="3" s="1"/>
  <c r="AM45" i="3"/>
  <c r="AM44" i="3" s="1"/>
  <c r="AN45" i="3"/>
  <c r="AN44" i="3" s="1"/>
  <c r="AO45" i="3"/>
  <c r="AO44" i="3" s="1"/>
  <c r="AP45" i="3"/>
  <c r="AP44" i="3" s="1"/>
  <c r="AQ45" i="3"/>
  <c r="AQ44" i="3" s="1"/>
  <c r="AK7" i="3"/>
  <c r="AK6" i="3" s="1"/>
  <c r="AD7" i="3"/>
  <c r="AD6" i="3" s="1"/>
  <c r="W7" i="3"/>
  <c r="W6" i="3" s="1"/>
  <c r="P7" i="3"/>
  <c r="Q7" i="3" s="1"/>
  <c r="R7" i="3" s="1"/>
  <c r="S7" i="3" s="1"/>
  <c r="T7" i="3" s="1"/>
  <c r="U7" i="3" s="1"/>
  <c r="V7" i="3" s="1"/>
  <c r="AL7" i="3" l="1"/>
  <c r="AM7" i="3" s="1"/>
  <c r="AN7" i="3" s="1"/>
  <c r="AO7" i="3" s="1"/>
  <c r="AP7" i="3" s="1"/>
  <c r="AQ7" i="3" s="1"/>
  <c r="P6" i="3"/>
  <c r="AE7" i="3"/>
  <c r="AF7" i="3" s="1"/>
  <c r="AG7" i="3" s="1"/>
  <c r="AH7" i="3" s="1"/>
  <c r="AI7" i="3" s="1"/>
  <c r="AJ7" i="3" s="1"/>
  <c r="X7" i="3"/>
  <c r="Y7" i="3" s="1"/>
  <c r="Z7" i="3" s="1"/>
  <c r="AA7" i="3" s="1"/>
  <c r="AB7" i="3" s="1"/>
  <c r="AC7" i="3" s="1"/>
  <c r="J7" i="3" l="1"/>
  <c r="K7" i="3" s="1"/>
  <c r="L7" i="3" s="1"/>
  <c r="M7" i="3" s="1"/>
  <c r="N7" i="3" s="1"/>
  <c r="O7" i="3" s="1"/>
  <c r="I6" i="3"/>
  <c r="I12" i="10"/>
  <c r="I13" i="10"/>
  <c r="I14" i="10"/>
  <c r="I11" i="10"/>
  <c r="E9" i="11" l="1"/>
  <c r="F9" i="11" s="1"/>
  <c r="I11" i="6" l="1"/>
  <c r="I12" i="6"/>
  <c r="H12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1" i="7"/>
  <c r="H11" i="6"/>
  <c r="D13" i="6"/>
  <c r="H13" i="6" s="1"/>
  <c r="D14" i="6"/>
  <c r="H14" i="6" s="1"/>
  <c r="D15" i="6"/>
  <c r="H15" i="6" s="1"/>
  <c r="D16" i="6"/>
  <c r="I16" i="6" s="1"/>
  <c r="D17" i="6"/>
  <c r="I17" i="6" s="1"/>
  <c r="D18" i="6"/>
  <c r="H18" i="6" s="1"/>
  <c r="D19" i="6"/>
  <c r="H19" i="6" s="1"/>
  <c r="D20" i="6"/>
  <c r="I20" i="6" s="1"/>
  <c r="D21" i="6"/>
  <c r="H21" i="6" s="1"/>
  <c r="D22" i="6"/>
  <c r="D23" i="6"/>
  <c r="D24" i="6"/>
  <c r="J8" i="6"/>
  <c r="J7" i="6" s="1"/>
  <c r="H20" i="6" l="1"/>
  <c r="I18" i="6"/>
  <c r="I14" i="6"/>
  <c r="H17" i="6"/>
  <c r="I21" i="6"/>
  <c r="I13" i="6"/>
  <c r="H16" i="6"/>
  <c r="I19" i="6"/>
  <c r="I15" i="6"/>
  <c r="J9" i="6"/>
  <c r="K8" i="6"/>
  <c r="S21" i="3"/>
  <c r="T21" i="3"/>
  <c r="U21" i="3"/>
  <c r="V21" i="3"/>
  <c r="W21" i="3"/>
  <c r="X21" i="3"/>
  <c r="Y21" i="3"/>
  <c r="I21" i="3"/>
  <c r="J21" i="3"/>
  <c r="V19" i="3"/>
  <c r="W19" i="3"/>
  <c r="X19" i="3"/>
  <c r="Y19" i="3"/>
  <c r="I19" i="3"/>
  <c r="J19" i="3"/>
  <c r="V17" i="3"/>
  <c r="W17" i="3"/>
  <c r="X17" i="3"/>
  <c r="Y17" i="3"/>
  <c r="I17" i="3"/>
  <c r="J17" i="3"/>
  <c r="J15" i="3"/>
  <c r="W15" i="3"/>
  <c r="X15" i="3"/>
  <c r="Y15" i="3"/>
  <c r="I15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L8" i="6" l="1"/>
  <c r="K9" i="6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K13" i="3"/>
  <c r="C15" i="3"/>
  <c r="M8" i="6" l="1"/>
  <c r="L9" i="6"/>
  <c r="N8" i="6" l="1"/>
  <c r="M9" i="6"/>
  <c r="B4" i="3"/>
  <c r="Y45" i="3"/>
  <c r="S1" i="5" s="1"/>
  <c r="Y1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AR10" i="3"/>
  <c r="T2" i="4"/>
  <c r="S2" i="4"/>
  <c r="R2" i="4"/>
  <c r="E2" i="4"/>
  <c r="W1" i="5"/>
  <c r="U1" i="5"/>
  <c r="G64" i="2"/>
  <c r="G41" i="2"/>
  <c r="G40" i="2" s="1"/>
  <c r="G26" i="2"/>
  <c r="G27" i="2"/>
  <c r="G28" i="2"/>
  <c r="G29" i="2"/>
  <c r="G30" i="2"/>
  <c r="G31" i="2"/>
  <c r="G32" i="2"/>
  <c r="L177" i="1"/>
  <c r="L178" i="1"/>
  <c r="L411" i="1"/>
  <c r="L413" i="1"/>
  <c r="C411" i="1"/>
  <c r="L392" i="1"/>
  <c r="L397" i="1"/>
  <c r="L353" i="1"/>
  <c r="E353" i="1"/>
  <c r="C353" i="1"/>
  <c r="L352" i="1"/>
  <c r="E352" i="1"/>
  <c r="C352" i="1"/>
  <c r="L351" i="1"/>
  <c r="E351" i="1"/>
  <c r="C351" i="1"/>
  <c r="L350" i="1"/>
  <c r="E350" i="1"/>
  <c r="C350" i="1"/>
  <c r="L194" i="1"/>
  <c r="E194" i="1"/>
  <c r="C194" i="1"/>
  <c r="L193" i="1"/>
  <c r="E193" i="1"/>
  <c r="C193" i="1"/>
  <c r="L192" i="1"/>
  <c r="E192" i="1"/>
  <c r="C192" i="1"/>
  <c r="L123" i="1"/>
  <c r="G55" i="2"/>
  <c r="G54" i="2" s="1"/>
  <c r="E123" i="1"/>
  <c r="C123" i="1"/>
  <c r="L122" i="1"/>
  <c r="E122" i="1"/>
  <c r="C122" i="1"/>
  <c r="L121" i="1"/>
  <c r="E121" i="1"/>
  <c r="C121" i="1"/>
  <c r="L11" i="1"/>
  <c r="I13" i="1" s="1"/>
  <c r="L13" i="1" s="1"/>
  <c r="G49" i="2"/>
  <c r="E11" i="1"/>
  <c r="C11" i="1"/>
  <c r="I115" i="1"/>
  <c r="L115" i="1" s="1"/>
  <c r="I108" i="1"/>
  <c r="L108" i="1" s="1"/>
  <c r="I116" i="1"/>
  <c r="I109" i="1"/>
  <c r="I117" i="1"/>
  <c r="I110" i="1"/>
  <c r="L110" i="1" s="1"/>
  <c r="I118" i="1"/>
  <c r="I111" i="1"/>
  <c r="L111" i="1"/>
  <c r="I119" i="1"/>
  <c r="L119" i="1" s="1"/>
  <c r="I112" i="1"/>
  <c r="I120" i="1"/>
  <c r="I113" i="1"/>
  <c r="L113" i="1" s="1"/>
  <c r="K9" i="1"/>
  <c r="L280" i="1"/>
  <c r="L281" i="1"/>
  <c r="L274" i="1"/>
  <c r="L269" i="1"/>
  <c r="L266" i="1"/>
  <c r="L88" i="1"/>
  <c r="L89" i="1"/>
  <c r="L9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44" i="1"/>
  <c r="H176" i="1"/>
  <c r="L176" i="1"/>
  <c r="H175" i="1"/>
  <c r="L175" i="1" s="1"/>
  <c r="H174" i="1"/>
  <c r="H298" i="1"/>
  <c r="L298" i="1"/>
  <c r="L156" i="1"/>
  <c r="L154" i="1"/>
  <c r="L349" i="1"/>
  <c r="L348" i="1"/>
  <c r="L347" i="1"/>
  <c r="E349" i="1"/>
  <c r="C349" i="1"/>
  <c r="E348" i="1"/>
  <c r="C348" i="1"/>
  <c r="E347" i="1"/>
  <c r="C347" i="1"/>
  <c r="L227" i="1"/>
  <c r="L228" i="1"/>
  <c r="L229" i="1"/>
  <c r="L230" i="1"/>
  <c r="L231" i="1"/>
  <c r="E229" i="1"/>
  <c r="C229" i="1"/>
  <c r="E228" i="1"/>
  <c r="C228" i="1"/>
  <c r="E227" i="1"/>
  <c r="C227" i="1"/>
  <c r="L212" i="1"/>
  <c r="L211" i="1"/>
  <c r="E212" i="1"/>
  <c r="C212" i="1"/>
  <c r="E211" i="1"/>
  <c r="C211" i="1"/>
  <c r="C225" i="1"/>
  <c r="E225" i="1"/>
  <c r="L225" i="1"/>
  <c r="L137" i="1"/>
  <c r="L136" i="1"/>
  <c r="L135" i="1"/>
  <c r="E137" i="1"/>
  <c r="C137" i="1"/>
  <c r="E136" i="1"/>
  <c r="C136" i="1"/>
  <c r="E135" i="1"/>
  <c r="C135" i="1"/>
  <c r="L182" i="1"/>
  <c r="E182" i="1"/>
  <c r="C182" i="1"/>
  <c r="E299" i="1"/>
  <c r="C299" i="1"/>
  <c r="L279" i="1"/>
  <c r="L278" i="1"/>
  <c r="L273" i="1"/>
  <c r="L272" i="1"/>
  <c r="L271" i="1"/>
  <c r="L270" i="1"/>
  <c r="H130" i="1"/>
  <c r="L130" i="1" s="1"/>
  <c r="I313" i="1"/>
  <c r="L313" i="1"/>
  <c r="L277" i="1"/>
  <c r="L289" i="1"/>
  <c r="L288" i="1"/>
  <c r="E289" i="1"/>
  <c r="C289" i="1"/>
  <c r="E288" i="1"/>
  <c r="C288" i="1"/>
  <c r="L276" i="1"/>
  <c r="L268" i="1"/>
  <c r="L275" i="1"/>
  <c r="L267" i="1"/>
  <c r="E276" i="1"/>
  <c r="E275" i="1"/>
  <c r="E268" i="1"/>
  <c r="E267" i="1"/>
  <c r="L126" i="1"/>
  <c r="H153" i="1"/>
  <c r="L153" i="1" s="1"/>
  <c r="H152" i="1"/>
  <c r="L152" i="1" s="1"/>
  <c r="H149" i="1"/>
  <c r="L149" i="1" s="1"/>
  <c r="H148" i="1"/>
  <c r="H173" i="1"/>
  <c r="L173" i="1" s="1"/>
  <c r="H172" i="1"/>
  <c r="L172" i="1" s="1"/>
  <c r="H171" i="1"/>
  <c r="L171" i="1" s="1"/>
  <c r="C147" i="1"/>
  <c r="E147" i="1"/>
  <c r="L147" i="1"/>
  <c r="L87" i="1"/>
  <c r="L86" i="1"/>
  <c r="E87" i="1"/>
  <c r="C87" i="1"/>
  <c r="E86" i="1"/>
  <c r="C86" i="1"/>
  <c r="L85" i="1"/>
  <c r="E85" i="1"/>
  <c r="C85" i="1"/>
  <c r="L77" i="1"/>
  <c r="L78" i="1"/>
  <c r="L79" i="1"/>
  <c r="L80" i="1"/>
  <c r="L81" i="1"/>
  <c r="L82" i="1"/>
  <c r="L83" i="1"/>
  <c r="L84" i="1"/>
  <c r="L76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60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L45" i="1"/>
  <c r="E45" i="1"/>
  <c r="C45" i="1"/>
  <c r="E44" i="1"/>
  <c r="C44" i="1"/>
  <c r="L37" i="1"/>
  <c r="L36" i="1"/>
  <c r="E37" i="1"/>
  <c r="C37" i="1"/>
  <c r="E36" i="1"/>
  <c r="C36" i="1"/>
  <c r="L35" i="1"/>
  <c r="L34" i="1"/>
  <c r="L33" i="1"/>
  <c r="L32" i="1"/>
  <c r="E35" i="1"/>
  <c r="C35" i="1"/>
  <c r="E34" i="1"/>
  <c r="C34" i="1"/>
  <c r="E33" i="1"/>
  <c r="C33" i="1"/>
  <c r="E32" i="1"/>
  <c r="C32" i="1"/>
  <c r="L31" i="1"/>
  <c r="E31" i="1"/>
  <c r="C31" i="1"/>
  <c r="E30" i="1"/>
  <c r="C30" i="1"/>
  <c r="L30" i="1"/>
  <c r="L29" i="1"/>
  <c r="E29" i="1"/>
  <c r="C29" i="1"/>
  <c r="L43" i="1"/>
  <c r="L42" i="1"/>
  <c r="L41" i="1"/>
  <c r="L40" i="1"/>
  <c r="L39" i="1"/>
  <c r="E43" i="1"/>
  <c r="C43" i="1"/>
  <c r="E42" i="1"/>
  <c r="C42" i="1"/>
  <c r="E41" i="1"/>
  <c r="C41" i="1"/>
  <c r="L27" i="1"/>
  <c r="E27" i="1"/>
  <c r="C27" i="1"/>
  <c r="L38" i="1"/>
  <c r="L28" i="1"/>
  <c r="L26" i="1"/>
  <c r="L25" i="1"/>
  <c r="L24" i="1"/>
  <c r="L23" i="1"/>
  <c r="E38" i="1"/>
  <c r="C38" i="1"/>
  <c r="E28" i="1"/>
  <c r="C28" i="1"/>
  <c r="E26" i="1"/>
  <c r="C26" i="1"/>
  <c r="E25" i="1"/>
  <c r="C25" i="1"/>
  <c r="E24" i="1"/>
  <c r="C24" i="1"/>
  <c r="E23" i="1"/>
  <c r="C23" i="1"/>
  <c r="L96" i="1"/>
  <c r="E96" i="1"/>
  <c r="C96" i="1"/>
  <c r="L95" i="1"/>
  <c r="E95" i="1"/>
  <c r="C95" i="1"/>
  <c r="L94" i="1"/>
  <c r="L93" i="1"/>
  <c r="L92" i="1"/>
  <c r="L91" i="1"/>
  <c r="E94" i="1"/>
  <c r="C94" i="1"/>
  <c r="E93" i="1"/>
  <c r="C93" i="1"/>
  <c r="E92" i="1"/>
  <c r="C92" i="1"/>
  <c r="E97" i="1"/>
  <c r="C97" i="1"/>
  <c r="L97" i="1"/>
  <c r="L22" i="1"/>
  <c r="L21" i="1"/>
  <c r="L20" i="1"/>
  <c r="L19" i="1"/>
  <c r="L18" i="1"/>
  <c r="L17" i="1"/>
  <c r="L16" i="1"/>
  <c r="L15" i="1"/>
  <c r="G51" i="2"/>
  <c r="L14" i="1"/>
  <c r="E21" i="1"/>
  <c r="C21" i="1"/>
  <c r="E20" i="1"/>
  <c r="C20" i="1"/>
  <c r="E19" i="1"/>
  <c r="C19" i="1"/>
  <c r="E18" i="1"/>
  <c r="C18" i="1"/>
  <c r="E17" i="1"/>
  <c r="C17" i="1"/>
  <c r="E22" i="1"/>
  <c r="C22" i="1"/>
  <c r="E16" i="1"/>
  <c r="C16" i="1"/>
  <c r="L163" i="1"/>
  <c r="C163" i="1"/>
  <c r="E163" i="1"/>
  <c r="L162" i="1"/>
  <c r="L161" i="1"/>
  <c r="E162" i="1"/>
  <c r="C162" i="1"/>
  <c r="E161" i="1"/>
  <c r="C161" i="1"/>
  <c r="L185" i="1"/>
  <c r="G59" i="2"/>
  <c r="G58" i="2" s="1"/>
  <c r="E185" i="1"/>
  <c r="C185" i="1"/>
  <c r="E416" i="1"/>
  <c r="C416" i="1"/>
  <c r="L416" i="1"/>
  <c r="L408" i="1"/>
  <c r="E408" i="1"/>
  <c r="C408" i="1"/>
  <c r="L363" i="1"/>
  <c r="L355" i="1"/>
  <c r="E363" i="1"/>
  <c r="C363" i="1"/>
  <c r="E355" i="1"/>
  <c r="C355" i="1"/>
  <c r="E305" i="1"/>
  <c r="C305" i="1"/>
  <c r="E304" i="1"/>
  <c r="C304" i="1"/>
  <c r="L305" i="1"/>
  <c r="L304" i="1"/>
  <c r="L303" i="1"/>
  <c r="E303" i="1"/>
  <c r="C303" i="1"/>
  <c r="L107" i="1"/>
  <c r="L114" i="1"/>
  <c r="E107" i="1"/>
  <c r="C107" i="1"/>
  <c r="E114" i="1"/>
  <c r="C114" i="1"/>
  <c r="L215" i="1"/>
  <c r="L214" i="1"/>
  <c r="L213" i="1"/>
  <c r="E215" i="1"/>
  <c r="C215" i="1"/>
  <c r="E214" i="1"/>
  <c r="C214" i="1"/>
  <c r="E213" i="1"/>
  <c r="C213" i="1"/>
  <c r="L106" i="1"/>
  <c r="E106" i="1"/>
  <c r="C106" i="1"/>
  <c r="C105" i="1"/>
  <c r="C104" i="1"/>
  <c r="C103" i="1"/>
  <c r="C102" i="1"/>
  <c r="C101" i="1"/>
  <c r="C100" i="1"/>
  <c r="C99" i="1"/>
  <c r="E105" i="1"/>
  <c r="E104" i="1"/>
  <c r="E103" i="1"/>
  <c r="E102" i="1"/>
  <c r="E101" i="1"/>
  <c r="E100" i="1"/>
  <c r="E99" i="1"/>
  <c r="L100" i="1"/>
  <c r="L101" i="1"/>
  <c r="L102" i="1"/>
  <c r="L103" i="1"/>
  <c r="L104" i="1"/>
  <c r="L105" i="1"/>
  <c r="L98" i="1"/>
  <c r="L99" i="1"/>
  <c r="E98" i="1"/>
  <c r="C98" i="1"/>
  <c r="E91" i="1"/>
  <c r="C91" i="1"/>
  <c r="L118" i="1"/>
  <c r="L120" i="1"/>
  <c r="L200" i="1"/>
  <c r="L201" i="1"/>
  <c r="L221" i="1"/>
  <c r="L222" i="1"/>
  <c r="L314" i="1"/>
  <c r="L315" i="1"/>
  <c r="H284" i="1"/>
  <c r="I284" i="1"/>
  <c r="H285" i="1"/>
  <c r="L285" i="1"/>
  <c r="H316" i="1"/>
  <c r="L316" i="1"/>
  <c r="H317" i="1"/>
  <c r="L317" i="1"/>
  <c r="H318" i="1"/>
  <c r="L318" i="1"/>
  <c r="H319" i="1"/>
  <c r="L319" i="1"/>
  <c r="H320" i="1"/>
  <c r="L320" i="1"/>
  <c r="H321" i="1"/>
  <c r="L321" i="1"/>
  <c r="H322" i="1"/>
  <c r="L322" i="1"/>
  <c r="H323" i="1"/>
  <c r="L323" i="1"/>
  <c r="H324" i="1"/>
  <c r="L324" i="1"/>
  <c r="H325" i="1"/>
  <c r="L325" i="1"/>
  <c r="H326" i="1"/>
  <c r="L326" i="1"/>
  <c r="H327" i="1"/>
  <c r="L327" i="1"/>
  <c r="I286" i="1"/>
  <c r="L286" i="1"/>
  <c r="H237" i="1"/>
  <c r="L237" i="1"/>
  <c r="H238" i="1"/>
  <c r="H239" i="1"/>
  <c r="L239" i="1" s="1"/>
  <c r="H240" i="1"/>
  <c r="L240" i="1" s="1"/>
  <c r="H241" i="1"/>
  <c r="L241" i="1"/>
  <c r="H242" i="1"/>
  <c r="L242" i="1" s="1"/>
  <c r="H243" i="1"/>
  <c r="L243" i="1" s="1"/>
  <c r="H244" i="1"/>
  <c r="L244" i="1" s="1"/>
  <c r="H245" i="1"/>
  <c r="L245" i="1"/>
  <c r="H246" i="1"/>
  <c r="L246" i="1" s="1"/>
  <c r="H247" i="1"/>
  <c r="L247" i="1" s="1"/>
  <c r="H248" i="1"/>
  <c r="L248" i="1" s="1"/>
  <c r="H249" i="1"/>
  <c r="L249" i="1"/>
  <c r="H250" i="1"/>
  <c r="L250" i="1" s="1"/>
  <c r="H251" i="1"/>
  <c r="L251" i="1" s="1"/>
  <c r="H252" i="1"/>
  <c r="L252" i="1" s="1"/>
  <c r="H253" i="1"/>
  <c r="L253" i="1"/>
  <c r="H254" i="1"/>
  <c r="L254" i="1" s="1"/>
  <c r="H255" i="1"/>
  <c r="L255" i="1" s="1"/>
  <c r="H256" i="1"/>
  <c r="L256" i="1" s="1"/>
  <c r="H257" i="1"/>
  <c r="L257" i="1"/>
  <c r="H258" i="1"/>
  <c r="L258" i="1" s="1"/>
  <c r="H259" i="1"/>
  <c r="L259" i="1" s="1"/>
  <c r="H260" i="1"/>
  <c r="L260" i="1" s="1"/>
  <c r="H261" i="1"/>
  <c r="L261" i="1"/>
  <c r="H262" i="1"/>
  <c r="L262" i="1" s="1"/>
  <c r="H263" i="1"/>
  <c r="L263" i="1" s="1"/>
  <c r="H264" i="1"/>
  <c r="L264" i="1" s="1"/>
  <c r="H370" i="1"/>
  <c r="L370" i="1"/>
  <c r="H371" i="1"/>
  <c r="L371" i="1" s="1"/>
  <c r="H297" i="1"/>
  <c r="L297" i="1" s="1"/>
  <c r="L148" i="1"/>
  <c r="H150" i="1"/>
  <c r="L150" i="1"/>
  <c r="H151" i="1"/>
  <c r="L151" i="1" s="1"/>
  <c r="Q2" i="4"/>
  <c r="P2" i="4"/>
  <c r="O2" i="4"/>
  <c r="F2" i="4"/>
  <c r="G2" i="4"/>
  <c r="H2" i="4"/>
  <c r="I2" i="4"/>
  <c r="J2" i="4"/>
  <c r="K2" i="4"/>
  <c r="L2" i="4"/>
  <c r="M2" i="4"/>
  <c r="N2" i="4"/>
  <c r="G75" i="2"/>
  <c r="G76" i="2"/>
  <c r="G77" i="2"/>
  <c r="G8" i="2"/>
  <c r="G9" i="2"/>
  <c r="G10" i="2"/>
  <c r="G11" i="2"/>
  <c r="G12" i="2"/>
  <c r="G13" i="2"/>
  <c r="G16" i="2"/>
  <c r="G17" i="2"/>
  <c r="G18" i="2"/>
  <c r="G21" i="2"/>
  <c r="G22" i="2"/>
  <c r="G23" i="2"/>
  <c r="G24" i="2"/>
  <c r="G33" i="2"/>
  <c r="G34" i="2"/>
  <c r="G39" i="2"/>
  <c r="G38" i="2" s="1"/>
  <c r="G66" i="2"/>
  <c r="G67" i="2"/>
  <c r="G68" i="2"/>
  <c r="G69" i="2"/>
  <c r="G70" i="2"/>
  <c r="G71" i="2"/>
  <c r="G73" i="2"/>
  <c r="G72" i="2" s="1"/>
  <c r="O40" i="3" s="1"/>
  <c r="O39" i="3" s="1"/>
  <c r="AR39" i="3" s="1"/>
  <c r="C354" i="1"/>
  <c r="E354" i="1"/>
  <c r="L354" i="1"/>
  <c r="C7" i="1"/>
  <c r="E7" i="1"/>
  <c r="L7" i="1"/>
  <c r="G19" i="2"/>
  <c r="L6" i="1"/>
  <c r="G15" i="2"/>
  <c r="E6" i="1"/>
  <c r="C6" i="1"/>
  <c r="L124" i="1"/>
  <c r="L125" i="1"/>
  <c r="L127" i="1"/>
  <c r="L128" i="1"/>
  <c r="L129" i="1"/>
  <c r="L131" i="1"/>
  <c r="L132" i="1"/>
  <c r="L133" i="1"/>
  <c r="L134" i="1"/>
  <c r="L138" i="1"/>
  <c r="L139" i="1"/>
  <c r="L140" i="1"/>
  <c r="L141" i="1"/>
  <c r="L195" i="1"/>
  <c r="L196" i="1"/>
  <c r="L197" i="1"/>
  <c r="L198" i="1"/>
  <c r="L199" i="1"/>
  <c r="L202" i="1"/>
  <c r="L203" i="1"/>
  <c r="L204" i="1"/>
  <c r="L205" i="1"/>
  <c r="L206" i="1"/>
  <c r="L207" i="1"/>
  <c r="L208" i="1"/>
  <c r="L209" i="1"/>
  <c r="L210" i="1"/>
  <c r="L216" i="1"/>
  <c r="L217" i="1"/>
  <c r="L218" i="1"/>
  <c r="L219" i="1"/>
  <c r="L220" i="1"/>
  <c r="L223" i="1"/>
  <c r="L224" i="1"/>
  <c r="L226" i="1"/>
  <c r="L232" i="1"/>
  <c r="L233" i="1"/>
  <c r="L306" i="1"/>
  <c r="L307" i="1"/>
  <c r="L308" i="1"/>
  <c r="L282" i="1"/>
  <c r="L309" i="1"/>
  <c r="L310" i="1"/>
  <c r="L311" i="1"/>
  <c r="L312" i="1"/>
  <c r="L283" i="1"/>
  <c r="L328" i="1"/>
  <c r="L329" i="1"/>
  <c r="L287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56" i="1"/>
  <c r="L362" i="1"/>
  <c r="L364" i="1"/>
  <c r="L365" i="1"/>
  <c r="L378" i="1"/>
  <c r="L381" i="1"/>
  <c r="L234" i="1"/>
  <c r="L235" i="1"/>
  <c r="L236" i="1"/>
  <c r="L238" i="1"/>
  <c r="L265" i="1"/>
  <c r="L357" i="1"/>
  <c r="L366" i="1"/>
  <c r="L367" i="1"/>
  <c r="L368" i="1"/>
  <c r="L382" i="1"/>
  <c r="L383" i="1"/>
  <c r="L384" i="1"/>
  <c r="L385" i="1"/>
  <c r="L386" i="1"/>
  <c r="L387" i="1"/>
  <c r="L358" i="1"/>
  <c r="L369" i="1"/>
  <c r="L388" i="1"/>
  <c r="L389" i="1"/>
  <c r="L390" i="1"/>
  <c r="L391" i="1"/>
  <c r="L379" i="1"/>
  <c r="L359" i="1"/>
  <c r="L372" i="1"/>
  <c r="L373" i="1"/>
  <c r="L374" i="1"/>
  <c r="L393" i="1"/>
  <c r="L394" i="1"/>
  <c r="L395" i="1"/>
  <c r="L396" i="1"/>
  <c r="L380" i="1"/>
  <c r="L360" i="1"/>
  <c r="L375" i="1"/>
  <c r="L376" i="1"/>
  <c r="L398" i="1"/>
  <c r="L361" i="1"/>
  <c r="L377" i="1"/>
  <c r="L399" i="1"/>
  <c r="L405" i="1"/>
  <c r="L409" i="1"/>
  <c r="L417" i="1"/>
  <c r="L400" i="1"/>
  <c r="L410" i="1"/>
  <c r="L418" i="1"/>
  <c r="L423" i="1"/>
  <c r="L401" i="1"/>
  <c r="L406" i="1"/>
  <c r="L412" i="1"/>
  <c r="L419" i="1"/>
  <c r="L424" i="1"/>
  <c r="L402" i="1"/>
  <c r="L407" i="1"/>
  <c r="L414" i="1"/>
  <c r="L420" i="1"/>
  <c r="L425" i="1"/>
  <c r="L403" i="1"/>
  <c r="L415" i="1"/>
  <c r="L421" i="1"/>
  <c r="L426" i="1"/>
  <c r="L404" i="1"/>
  <c r="L422" i="1"/>
  <c r="L427" i="1"/>
  <c r="L290" i="1"/>
  <c r="L291" i="1"/>
  <c r="L292" i="1"/>
  <c r="L293" i="1"/>
  <c r="L294" i="1"/>
  <c r="L186" i="1"/>
  <c r="L189" i="1"/>
  <c r="L190" i="1"/>
  <c r="L191" i="1"/>
  <c r="L187" i="1"/>
  <c r="L188" i="1"/>
  <c r="L164" i="1"/>
  <c r="L295" i="1"/>
  <c r="L165" i="1"/>
  <c r="L166" i="1"/>
  <c r="L296" i="1"/>
  <c r="L167" i="1"/>
  <c r="L168" i="1"/>
  <c r="L169" i="1"/>
  <c r="L170" i="1"/>
  <c r="L142" i="1"/>
  <c r="L143" i="1"/>
  <c r="L144" i="1"/>
  <c r="L145" i="1"/>
  <c r="L146" i="1"/>
  <c r="L174" i="1"/>
  <c r="L155" i="1"/>
  <c r="G57" i="2"/>
  <c r="L157" i="1"/>
  <c r="L179" i="1"/>
  <c r="L180" i="1"/>
  <c r="L181" i="1"/>
  <c r="L299" i="1"/>
  <c r="L158" i="1"/>
  <c r="L300" i="1"/>
  <c r="L183" i="1"/>
  <c r="L184" i="1"/>
  <c r="L159" i="1"/>
  <c r="L160" i="1"/>
  <c r="L8" i="1"/>
  <c r="G43" i="2"/>
  <c r="N22" i="3" s="1"/>
  <c r="L10" i="1"/>
  <c r="G45" i="2"/>
  <c r="L301" i="1"/>
  <c r="L302" i="1"/>
  <c r="L428" i="1"/>
  <c r="C41" i="3"/>
  <c r="C39" i="3"/>
  <c r="C37" i="3"/>
  <c r="C35" i="3"/>
  <c r="C33" i="3"/>
  <c r="C31" i="3"/>
  <c r="C27" i="3"/>
  <c r="C25" i="3"/>
  <c r="C23" i="3"/>
  <c r="C21" i="3"/>
  <c r="C19" i="3"/>
  <c r="C17" i="3"/>
  <c r="C13" i="3"/>
  <c r="C11" i="3"/>
  <c r="C9" i="3"/>
  <c r="C428" i="1"/>
  <c r="E428" i="1"/>
  <c r="C302" i="1"/>
  <c r="E302" i="1"/>
  <c r="C301" i="1"/>
  <c r="E301" i="1"/>
  <c r="C10" i="1"/>
  <c r="E10" i="1"/>
  <c r="E9" i="1"/>
  <c r="C9" i="1"/>
  <c r="E8" i="1"/>
  <c r="C8" i="1"/>
  <c r="E160" i="1"/>
  <c r="E159" i="1"/>
  <c r="E184" i="1"/>
  <c r="E183" i="1"/>
  <c r="E300" i="1"/>
  <c r="E158" i="1"/>
  <c r="E181" i="1"/>
  <c r="E180" i="1"/>
  <c r="E179" i="1"/>
  <c r="E157" i="1"/>
  <c r="E156" i="1"/>
  <c r="E155" i="1"/>
  <c r="E154" i="1"/>
  <c r="E178" i="1"/>
  <c r="E177" i="1"/>
  <c r="E176" i="1"/>
  <c r="E175" i="1"/>
  <c r="E174" i="1"/>
  <c r="E298" i="1"/>
  <c r="E153" i="1"/>
  <c r="E152" i="1"/>
  <c r="E151" i="1"/>
  <c r="E150" i="1"/>
  <c r="E149" i="1"/>
  <c r="E148" i="1"/>
  <c r="E173" i="1"/>
  <c r="E172" i="1"/>
  <c r="E171" i="1"/>
  <c r="E297" i="1"/>
  <c r="E143" i="1"/>
  <c r="E144" i="1"/>
  <c r="E145" i="1"/>
  <c r="E146" i="1"/>
  <c r="E142" i="1"/>
  <c r="E170" i="1"/>
  <c r="E169" i="1"/>
  <c r="E168" i="1"/>
  <c r="E167" i="1"/>
  <c r="E296" i="1"/>
  <c r="E166" i="1"/>
  <c r="E165" i="1"/>
  <c r="E295" i="1"/>
  <c r="E164" i="1"/>
  <c r="E188" i="1"/>
  <c r="E187" i="1"/>
  <c r="E190" i="1"/>
  <c r="E191" i="1"/>
  <c r="E189" i="1"/>
  <c r="E186" i="1"/>
  <c r="E291" i="1"/>
  <c r="E292" i="1"/>
  <c r="E293" i="1"/>
  <c r="E294" i="1"/>
  <c r="E290" i="1"/>
  <c r="E427" i="1"/>
  <c r="E422" i="1"/>
  <c r="E404" i="1"/>
  <c r="E426" i="1"/>
  <c r="E421" i="1"/>
  <c r="E415" i="1"/>
  <c r="E403" i="1"/>
  <c r="E425" i="1"/>
  <c r="E420" i="1"/>
  <c r="E414" i="1"/>
  <c r="E407" i="1"/>
  <c r="E413" i="1"/>
  <c r="E402" i="1"/>
  <c r="E424" i="1"/>
  <c r="E419" i="1"/>
  <c r="E412" i="1"/>
  <c r="E406" i="1"/>
  <c r="E401" i="1"/>
  <c r="E423" i="1"/>
  <c r="E418" i="1"/>
  <c r="E410" i="1"/>
  <c r="E400" i="1"/>
  <c r="E417" i="1"/>
  <c r="E409" i="1"/>
  <c r="E405" i="1"/>
  <c r="E399" i="1"/>
  <c r="E377" i="1"/>
  <c r="E361" i="1"/>
  <c r="E398" i="1"/>
  <c r="E376" i="1"/>
  <c r="E375" i="1"/>
  <c r="E360" i="1"/>
  <c r="E397" i="1"/>
  <c r="E380" i="1"/>
  <c r="E396" i="1"/>
  <c r="E395" i="1"/>
  <c r="E394" i="1"/>
  <c r="E393" i="1"/>
  <c r="E374" i="1"/>
  <c r="E373" i="1"/>
  <c r="E372" i="1"/>
  <c r="E359" i="1"/>
  <c r="E392" i="1"/>
  <c r="E379" i="1"/>
  <c r="E391" i="1"/>
  <c r="E390" i="1"/>
  <c r="E389" i="1"/>
  <c r="E388" i="1"/>
  <c r="E371" i="1"/>
  <c r="E370" i="1"/>
  <c r="E369" i="1"/>
  <c r="E358" i="1"/>
  <c r="E383" i="1"/>
  <c r="E384" i="1"/>
  <c r="E385" i="1"/>
  <c r="E386" i="1"/>
  <c r="E387" i="1"/>
  <c r="E382" i="1"/>
  <c r="E366" i="1"/>
  <c r="E367" i="1"/>
  <c r="E368" i="1"/>
  <c r="E357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34" i="1"/>
  <c r="E381" i="1"/>
  <c r="E378" i="1"/>
  <c r="E365" i="1"/>
  <c r="E364" i="1"/>
  <c r="E362" i="1"/>
  <c r="E356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287" i="1"/>
  <c r="E286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285" i="1"/>
  <c r="E284" i="1"/>
  <c r="E315" i="1"/>
  <c r="E314" i="1"/>
  <c r="E283" i="1"/>
  <c r="E310" i="1"/>
  <c r="E311" i="1"/>
  <c r="E312" i="1"/>
  <c r="E313" i="1"/>
  <c r="E309" i="1"/>
  <c r="E282" i="1"/>
  <c r="E307" i="1"/>
  <c r="E308" i="1"/>
  <c r="E306" i="1"/>
  <c r="E277" i="1"/>
  <c r="E278" i="1"/>
  <c r="E279" i="1"/>
  <c r="E280" i="1"/>
  <c r="E281" i="1"/>
  <c r="E274" i="1"/>
  <c r="E269" i="1"/>
  <c r="E270" i="1"/>
  <c r="E271" i="1"/>
  <c r="E272" i="1"/>
  <c r="E273" i="1"/>
  <c r="E266" i="1"/>
  <c r="E217" i="1"/>
  <c r="E218" i="1"/>
  <c r="E219" i="1"/>
  <c r="E220" i="1"/>
  <c r="E221" i="1"/>
  <c r="E222" i="1"/>
  <c r="E223" i="1"/>
  <c r="E224" i="1"/>
  <c r="E226" i="1"/>
  <c r="E230" i="1"/>
  <c r="E231" i="1"/>
  <c r="E232" i="1"/>
  <c r="E233" i="1"/>
  <c r="E216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195" i="1"/>
  <c r="E125" i="1"/>
  <c r="E126" i="1"/>
  <c r="E127" i="1"/>
  <c r="E128" i="1"/>
  <c r="E129" i="1"/>
  <c r="E130" i="1"/>
  <c r="E131" i="1"/>
  <c r="E132" i="1"/>
  <c r="E133" i="1"/>
  <c r="E134" i="1"/>
  <c r="E138" i="1"/>
  <c r="E139" i="1"/>
  <c r="E140" i="1"/>
  <c r="E141" i="1"/>
  <c r="E124" i="1"/>
  <c r="E113" i="1"/>
  <c r="E120" i="1"/>
  <c r="E112" i="1"/>
  <c r="E119" i="1"/>
  <c r="E111" i="1"/>
  <c r="E118" i="1"/>
  <c r="E110" i="1"/>
  <c r="E117" i="1"/>
  <c r="E109" i="1"/>
  <c r="E116" i="1"/>
  <c r="E108" i="1"/>
  <c r="E115" i="1"/>
  <c r="E12" i="1"/>
  <c r="E13" i="1"/>
  <c r="E39" i="1"/>
  <c r="E40" i="1"/>
  <c r="E46" i="1"/>
  <c r="E47" i="1"/>
  <c r="E61" i="1"/>
  <c r="E62" i="1"/>
  <c r="E76" i="1"/>
  <c r="E77" i="1"/>
  <c r="E88" i="1"/>
  <c r="E89" i="1"/>
  <c r="E90" i="1"/>
  <c r="E15" i="1"/>
  <c r="E14" i="1"/>
  <c r="C160" i="1"/>
  <c r="C159" i="1"/>
  <c r="C184" i="1"/>
  <c r="C183" i="1"/>
  <c r="C300" i="1"/>
  <c r="C158" i="1"/>
  <c r="C181" i="1"/>
  <c r="C180" i="1"/>
  <c r="C179" i="1"/>
  <c r="C157" i="1"/>
  <c r="C156" i="1"/>
  <c r="C155" i="1"/>
  <c r="C154" i="1"/>
  <c r="C178" i="1"/>
  <c r="C177" i="1"/>
  <c r="C176" i="1"/>
  <c r="C175" i="1"/>
  <c r="C174" i="1"/>
  <c r="C298" i="1"/>
  <c r="C153" i="1"/>
  <c r="C152" i="1"/>
  <c r="C151" i="1"/>
  <c r="C150" i="1"/>
  <c r="C149" i="1"/>
  <c r="C148" i="1"/>
  <c r="C173" i="1"/>
  <c r="C172" i="1"/>
  <c r="C171" i="1"/>
  <c r="C297" i="1"/>
  <c r="C146" i="1"/>
  <c r="C145" i="1"/>
  <c r="C144" i="1"/>
  <c r="C143" i="1"/>
  <c r="C142" i="1"/>
  <c r="C170" i="1"/>
  <c r="C169" i="1"/>
  <c r="C168" i="1"/>
  <c r="C167" i="1"/>
  <c r="C296" i="1"/>
  <c r="C166" i="1"/>
  <c r="C165" i="1"/>
  <c r="C295" i="1"/>
  <c r="C164" i="1"/>
  <c r="C188" i="1"/>
  <c r="C187" i="1"/>
  <c r="C191" i="1"/>
  <c r="C190" i="1"/>
  <c r="C189" i="1"/>
  <c r="C186" i="1"/>
  <c r="C294" i="1"/>
  <c r="C293" i="1"/>
  <c r="C292" i="1"/>
  <c r="C291" i="1"/>
  <c r="C290" i="1"/>
  <c r="C427" i="1"/>
  <c r="C422" i="1"/>
  <c r="C404" i="1"/>
  <c r="C426" i="1"/>
  <c r="C421" i="1"/>
  <c r="C415" i="1"/>
  <c r="C403" i="1"/>
  <c r="C425" i="1"/>
  <c r="C420" i="1"/>
  <c r="C414" i="1"/>
  <c r="C407" i="1"/>
  <c r="C413" i="1"/>
  <c r="C402" i="1"/>
  <c r="C424" i="1"/>
  <c r="C419" i="1"/>
  <c r="C412" i="1"/>
  <c r="C406" i="1"/>
  <c r="C401" i="1"/>
  <c r="C423" i="1"/>
  <c r="C418" i="1"/>
  <c r="C410" i="1"/>
  <c r="C400" i="1"/>
  <c r="C417" i="1"/>
  <c r="C409" i="1"/>
  <c r="C405" i="1"/>
  <c r="C399" i="1"/>
  <c r="C377" i="1"/>
  <c r="C361" i="1"/>
  <c r="C398" i="1"/>
  <c r="C376" i="1"/>
  <c r="C375" i="1"/>
  <c r="C360" i="1"/>
  <c r="C397" i="1"/>
  <c r="C380" i="1"/>
  <c r="C396" i="1"/>
  <c r="C395" i="1"/>
  <c r="C394" i="1"/>
  <c r="C393" i="1"/>
  <c r="C374" i="1"/>
  <c r="C373" i="1"/>
  <c r="C372" i="1"/>
  <c r="C359" i="1"/>
  <c r="C392" i="1"/>
  <c r="C379" i="1"/>
  <c r="C391" i="1"/>
  <c r="C390" i="1"/>
  <c r="C389" i="1"/>
  <c r="C388" i="1"/>
  <c r="C369" i="1"/>
  <c r="C370" i="1"/>
  <c r="C371" i="1"/>
  <c r="C358" i="1"/>
  <c r="C383" i="1"/>
  <c r="C384" i="1"/>
  <c r="C385" i="1"/>
  <c r="C386" i="1"/>
  <c r="C387" i="1"/>
  <c r="C382" i="1"/>
  <c r="C368" i="1"/>
  <c r="C367" i="1"/>
  <c r="C366" i="1"/>
  <c r="C357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6" i="1"/>
  <c r="C235" i="1"/>
  <c r="C234" i="1"/>
  <c r="C381" i="1"/>
  <c r="C378" i="1"/>
  <c r="C364" i="1"/>
  <c r="C365" i="1"/>
  <c r="C362" i="1"/>
  <c r="C356" i="1"/>
  <c r="C346" i="1"/>
  <c r="C345" i="1"/>
  <c r="C344" i="1"/>
  <c r="C343" i="1"/>
  <c r="C342" i="1"/>
  <c r="C286" i="1"/>
  <c r="C287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9" i="1"/>
  <c r="C328" i="1"/>
  <c r="C327" i="1"/>
  <c r="C323" i="1"/>
  <c r="C324" i="1"/>
  <c r="C325" i="1"/>
  <c r="C326" i="1"/>
  <c r="C322" i="1"/>
  <c r="C321" i="1"/>
  <c r="C320" i="1"/>
  <c r="C319" i="1"/>
  <c r="C318" i="1"/>
  <c r="C316" i="1"/>
  <c r="C317" i="1"/>
  <c r="C284" i="1"/>
  <c r="C285" i="1"/>
  <c r="C315" i="1"/>
  <c r="C314" i="1"/>
  <c r="C283" i="1"/>
  <c r="C313" i="1"/>
  <c r="C312" i="1"/>
  <c r="C311" i="1"/>
  <c r="C310" i="1"/>
  <c r="C309" i="1"/>
  <c r="C282" i="1"/>
  <c r="C308" i="1"/>
  <c r="C307" i="1"/>
  <c r="C306" i="1"/>
  <c r="C233" i="1"/>
  <c r="C232" i="1"/>
  <c r="C231" i="1"/>
  <c r="C230" i="1"/>
  <c r="C226" i="1"/>
  <c r="C224" i="1"/>
  <c r="C223" i="1"/>
  <c r="C222" i="1"/>
  <c r="C221" i="1"/>
  <c r="C220" i="1"/>
  <c r="C219" i="1"/>
  <c r="C218" i="1"/>
  <c r="C217" i="1"/>
  <c r="C216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41" i="1"/>
  <c r="C140" i="1"/>
  <c r="C139" i="1"/>
  <c r="C138" i="1"/>
  <c r="C134" i="1"/>
  <c r="C133" i="1"/>
  <c r="C132" i="1"/>
  <c r="C131" i="1"/>
  <c r="C130" i="1"/>
  <c r="C129" i="1"/>
  <c r="C128" i="1"/>
  <c r="C127" i="1"/>
  <c r="C126" i="1"/>
  <c r="C125" i="1"/>
  <c r="C113" i="1"/>
  <c r="C120" i="1"/>
  <c r="C112" i="1"/>
  <c r="C119" i="1"/>
  <c r="C111" i="1"/>
  <c r="C118" i="1"/>
  <c r="C110" i="1"/>
  <c r="C117" i="1"/>
  <c r="C109" i="1"/>
  <c r="C116" i="1"/>
  <c r="C108" i="1"/>
  <c r="C115" i="1"/>
  <c r="C46" i="1"/>
  <c r="C47" i="1"/>
  <c r="C61" i="1"/>
  <c r="C62" i="1"/>
  <c r="C76" i="1"/>
  <c r="C77" i="1"/>
  <c r="C88" i="1"/>
  <c r="C89" i="1"/>
  <c r="C90" i="1"/>
  <c r="C13" i="1"/>
  <c r="C12" i="1"/>
  <c r="C124" i="1"/>
  <c r="C14" i="1"/>
  <c r="C15" i="1"/>
  <c r="C39" i="1"/>
  <c r="C40" i="1"/>
  <c r="L9" i="1"/>
  <c r="G53" i="2"/>
  <c r="L116" i="1"/>
  <c r="G44" i="2"/>
  <c r="G42" i="2" s="1"/>
  <c r="AE21" i="3" s="1"/>
  <c r="L109" i="1"/>
  <c r="L112" i="1"/>
  <c r="G52" i="2"/>
  <c r="G47" i="2"/>
  <c r="L117" i="1"/>
  <c r="I12" i="1"/>
  <c r="L12" i="1"/>
  <c r="G48" i="2"/>
  <c r="AR12" i="3"/>
  <c r="G61" i="2"/>
  <c r="G60" i="2" s="1"/>
  <c r="G63" i="2"/>
  <c r="G62" i="2" s="1"/>
  <c r="G56" i="2"/>
  <c r="T30" i="3" s="1"/>
  <c r="M20" i="3"/>
  <c r="M19" i="3" s="1"/>
  <c r="Q20" i="3"/>
  <c r="Q19" i="3" s="1"/>
  <c r="N20" i="3"/>
  <c r="N19" i="3" s="1"/>
  <c r="K20" i="3"/>
  <c r="K19" i="3" s="1"/>
  <c r="S20" i="3"/>
  <c r="S19" i="3" s="1"/>
  <c r="P20" i="3"/>
  <c r="P19" i="3" s="1"/>
  <c r="T32" i="3"/>
  <c r="T31" i="3" s="1"/>
  <c r="Q22" i="3"/>
  <c r="V1" i="5"/>
  <c r="P22" i="3"/>
  <c r="Y44" i="3"/>
  <c r="R18" i="3"/>
  <c r="R17" i="3" s="1"/>
  <c r="L22" i="3"/>
  <c r="X1" i="5"/>
  <c r="T1" i="5"/>
  <c r="V1" i="4"/>
  <c r="W1" i="4"/>
  <c r="X1" i="4"/>
  <c r="Y1" i="4"/>
  <c r="Z1" i="4"/>
  <c r="L284" i="1" l="1"/>
  <c r="N28" i="3"/>
  <c r="P28" i="3"/>
  <c r="P27" i="3" s="1"/>
  <c r="O28" i="3"/>
  <c r="O27" i="3" s="1"/>
  <c r="G65" i="2"/>
  <c r="O38" i="3" s="1"/>
  <c r="O37" i="3" s="1"/>
  <c r="G20" i="2"/>
  <c r="G74" i="2"/>
  <c r="W42" i="3" s="1"/>
  <c r="G25" i="2"/>
  <c r="K16" i="3" s="1"/>
  <c r="K15" i="3" s="1"/>
  <c r="Q28" i="3"/>
  <c r="Q27" i="3" s="1"/>
  <c r="R28" i="3"/>
  <c r="R27" i="3" s="1"/>
  <c r="M28" i="3"/>
  <c r="M27" i="3" s="1"/>
  <c r="G50" i="2"/>
  <c r="O26" i="3" s="1"/>
  <c r="O25" i="3" s="1"/>
  <c r="T28" i="3"/>
  <c r="T27" i="3" s="1"/>
  <c r="L21" i="3"/>
  <c r="S28" i="3"/>
  <c r="S27" i="3" s="1"/>
  <c r="M38" i="3"/>
  <c r="M37" i="3" s="1"/>
  <c r="Q21" i="3"/>
  <c r="Q36" i="3"/>
  <c r="Q35" i="3" s="1"/>
  <c r="V36" i="3"/>
  <c r="V35" i="3" s="1"/>
  <c r="S36" i="3"/>
  <c r="S35" i="3" s="1"/>
  <c r="U36" i="3"/>
  <c r="U35" i="3" s="1"/>
  <c r="P36" i="3"/>
  <c r="P35" i="3" s="1"/>
  <c r="R36" i="3"/>
  <c r="R35" i="3" s="1"/>
  <c r="T36" i="3"/>
  <c r="T35" i="3" s="1"/>
  <c r="G46" i="2"/>
  <c r="G14" i="2"/>
  <c r="I11" i="3" s="1"/>
  <c r="AR11" i="3" s="1"/>
  <c r="I14" i="3"/>
  <c r="I13" i="3" s="1"/>
  <c r="J14" i="3"/>
  <c r="J13" i="3" s="1"/>
  <c r="P21" i="3"/>
  <c r="N21" i="3"/>
  <c r="O8" i="6"/>
  <c r="N9" i="6"/>
  <c r="K22" i="3"/>
  <c r="K21" i="3" s="1"/>
  <c r="O34" i="3"/>
  <c r="O33" i="3" s="1"/>
  <c r="P34" i="3"/>
  <c r="P33" i="3" s="1"/>
  <c r="T29" i="3"/>
  <c r="AR29" i="3" s="1"/>
  <c r="AR30" i="3"/>
  <c r="N34" i="3"/>
  <c r="M18" i="3"/>
  <c r="M17" i="3" s="1"/>
  <c r="N18" i="3"/>
  <c r="N17" i="3" s="1"/>
  <c r="U18" i="3"/>
  <c r="U17" i="3" s="1"/>
  <c r="T18" i="3"/>
  <c r="T17" i="3" s="1"/>
  <c r="L18" i="3"/>
  <c r="L17" i="3" s="1"/>
  <c r="O18" i="3"/>
  <c r="O17" i="3" s="1"/>
  <c r="K18" i="3"/>
  <c r="S18" i="3"/>
  <c r="S17" i="3" s="1"/>
  <c r="P18" i="3"/>
  <c r="P17" i="3" s="1"/>
  <c r="Q18" i="3"/>
  <c r="Q17" i="3" s="1"/>
  <c r="N38" i="3"/>
  <c r="P38" i="3"/>
  <c r="P37" i="3" s="1"/>
  <c r="R32" i="3"/>
  <c r="R31" i="3" s="1"/>
  <c r="Q32" i="3"/>
  <c r="AR28" i="3"/>
  <c r="S32" i="3"/>
  <c r="S31" i="3" s="1"/>
  <c r="O22" i="3"/>
  <c r="O21" i="3" s="1"/>
  <c r="R22" i="3"/>
  <c r="R21" i="3" s="1"/>
  <c r="M22" i="3"/>
  <c r="M21" i="3" s="1"/>
  <c r="G7" i="2"/>
  <c r="N27" i="3"/>
  <c r="O20" i="3"/>
  <c r="O19" i="3" s="1"/>
  <c r="L20" i="3"/>
  <c r="L19" i="3" s="1"/>
  <c r="T20" i="3"/>
  <c r="T19" i="3" s="1"/>
  <c r="U20" i="3"/>
  <c r="U19" i="3" s="1"/>
  <c r="R20" i="3"/>
  <c r="R19" i="3" s="1"/>
  <c r="O36" i="3"/>
  <c r="O35" i="3" s="1"/>
  <c r="N36" i="3"/>
  <c r="X42" i="3" l="1"/>
  <c r="N16" i="3"/>
  <c r="N15" i="3" s="1"/>
  <c r="N26" i="3"/>
  <c r="N25" i="3" s="1"/>
  <c r="M16" i="3"/>
  <c r="M15" i="3" s="1"/>
  <c r="Q16" i="3"/>
  <c r="Q15" i="3" s="1"/>
  <c r="AR27" i="3"/>
  <c r="P16" i="3"/>
  <c r="P15" i="3" s="1"/>
  <c r="V16" i="3"/>
  <c r="O16" i="3"/>
  <c r="O15" i="3" s="1"/>
  <c r="L16" i="3"/>
  <c r="L15" i="3" s="1"/>
  <c r="R16" i="3"/>
  <c r="R15" i="3" s="1"/>
  <c r="U16" i="3"/>
  <c r="U15" i="3" s="1"/>
  <c r="T16" i="3"/>
  <c r="T15" i="3" s="1"/>
  <c r="S16" i="3"/>
  <c r="S15" i="3" s="1"/>
  <c r="L26" i="3"/>
  <c r="L25" i="3" s="1"/>
  <c r="P26" i="3"/>
  <c r="P25" i="3" s="1"/>
  <c r="T26" i="3"/>
  <c r="T25" i="3" s="1"/>
  <c r="M26" i="3"/>
  <c r="M25" i="3" s="1"/>
  <c r="S26" i="3"/>
  <c r="S25" i="3" s="1"/>
  <c r="Q26" i="3"/>
  <c r="Q25" i="3" s="1"/>
  <c r="R26" i="3"/>
  <c r="R25" i="3" s="1"/>
  <c r="K24" i="3"/>
  <c r="K23" i="3" s="1"/>
  <c r="J24" i="3"/>
  <c r="P8" i="6"/>
  <c r="O9" i="6"/>
  <c r="K17" i="3"/>
  <c r="AR42" i="3"/>
  <c r="AR21" i="3"/>
  <c r="AR20" i="3"/>
  <c r="N33" i="3"/>
  <c r="AR33" i="3" s="1"/>
  <c r="AR34" i="3"/>
  <c r="G4" i="2"/>
  <c r="Q31" i="3"/>
  <c r="AR31" i="3" s="1"/>
  <c r="AR14" i="3"/>
  <c r="I45" i="3"/>
  <c r="X45" i="3"/>
  <c r="X44" i="3" s="1"/>
  <c r="X41" i="3"/>
  <c r="O45" i="3"/>
  <c r="AR22" i="3"/>
  <c r="AR36" i="3"/>
  <c r="N35" i="3"/>
  <c r="AR35" i="3" s="1"/>
  <c r="N37" i="3"/>
  <c r="AR37" i="3" s="1"/>
  <c r="AR38" i="3"/>
  <c r="AR18" i="3"/>
  <c r="W41" i="3"/>
  <c r="W45" i="3"/>
  <c r="T45" i="3"/>
  <c r="Q45" i="3" l="1"/>
  <c r="L1" i="5" s="1"/>
  <c r="N45" i="3"/>
  <c r="N44" i="3" s="1"/>
  <c r="L45" i="3"/>
  <c r="L44" i="3" s="1"/>
  <c r="S45" i="3"/>
  <c r="M45" i="3"/>
  <c r="H1" i="5" s="1"/>
  <c r="AR16" i="3"/>
  <c r="V15" i="3"/>
  <c r="AR15" i="3" s="1"/>
  <c r="V45" i="3"/>
  <c r="P45" i="3"/>
  <c r="U45" i="3"/>
  <c r="P1" i="5" s="1"/>
  <c r="AR25" i="3"/>
  <c r="AR26" i="3"/>
  <c r="R45" i="3"/>
  <c r="M1" i="5" s="1"/>
  <c r="K45" i="3"/>
  <c r="K44" i="3" s="1"/>
  <c r="J23" i="3"/>
  <c r="AR23" i="3" s="1"/>
  <c r="AR24" i="3"/>
  <c r="J45" i="3"/>
  <c r="E1" i="5" s="1"/>
  <c r="Q8" i="6"/>
  <c r="P9" i="6"/>
  <c r="O44" i="3"/>
  <c r="J1" i="5"/>
  <c r="G1" i="5"/>
  <c r="S44" i="3"/>
  <c r="N1" i="5"/>
  <c r="AR13" i="3"/>
  <c r="Q44" i="3"/>
  <c r="R44" i="3"/>
  <c r="D1" i="5"/>
  <c r="I44" i="3"/>
  <c r="K1" i="5"/>
  <c r="P44" i="3"/>
  <c r="W44" i="3"/>
  <c r="R1" i="5"/>
  <c r="I1" i="5"/>
  <c r="M44" i="3"/>
  <c r="AR41" i="3"/>
  <c r="AR17" i="3"/>
  <c r="O1" i="5"/>
  <c r="T44" i="3"/>
  <c r="AR19" i="3"/>
  <c r="U44" i="3" l="1"/>
  <c r="D47" i="3"/>
  <c r="V44" i="3"/>
  <c r="Q1" i="5"/>
  <c r="F1" i="5"/>
  <c r="D48" i="3"/>
  <c r="J44" i="3"/>
  <c r="AR44" i="3" s="1"/>
  <c r="Q9" i="6"/>
  <c r="R8" i="6"/>
  <c r="Q7" i="6"/>
  <c r="I46" i="3"/>
  <c r="E1" i="4" s="1"/>
  <c r="S8" i="6" l="1"/>
  <c r="R9" i="6"/>
  <c r="J46" i="3"/>
  <c r="S9" i="6" l="1"/>
  <c r="T8" i="6"/>
  <c r="F1" i="4"/>
  <c r="K46" i="3"/>
  <c r="U8" i="6" l="1"/>
  <c r="T9" i="6"/>
  <c r="G1" i="4"/>
  <c r="L46" i="3"/>
  <c r="V8" i="6" l="1"/>
  <c r="U9" i="6"/>
  <c r="H1" i="4"/>
  <c r="M46" i="3"/>
  <c r="W8" i="6" l="1"/>
  <c r="V9" i="6"/>
  <c r="I1" i="4"/>
  <c r="N46" i="3"/>
  <c r="X8" i="6" l="1"/>
  <c r="W9" i="6"/>
  <c r="J1" i="4"/>
  <c r="O46" i="3"/>
  <c r="Y8" i="6" l="1"/>
  <c r="X9" i="6"/>
  <c r="X7" i="6"/>
  <c r="K1" i="4"/>
  <c r="P46" i="3"/>
  <c r="Z8" i="6" l="1"/>
  <c r="Y9" i="6"/>
  <c r="L1" i="4"/>
  <c r="Q46" i="3"/>
  <c r="Z9" i="6" l="1"/>
  <c r="AA8" i="6"/>
  <c r="M1" i="4"/>
  <c r="R46" i="3"/>
  <c r="AB8" i="6" l="1"/>
  <c r="AA9" i="6"/>
  <c r="N1" i="4"/>
  <c r="S46" i="3"/>
  <c r="AC8" i="6" l="1"/>
  <c r="AB9" i="6"/>
  <c r="O1" i="4"/>
  <c r="T46" i="3"/>
  <c r="AD8" i="6" l="1"/>
  <c r="AC9" i="6"/>
  <c r="P1" i="4"/>
  <c r="U46" i="3"/>
  <c r="AE8" i="6" l="1"/>
  <c r="AD9" i="6"/>
  <c r="Q1" i="4"/>
  <c r="V46" i="3"/>
  <c r="AF8" i="6" l="1"/>
  <c r="AE9" i="6"/>
  <c r="AE7" i="6"/>
  <c r="R1" i="4"/>
  <c r="W46" i="3"/>
  <c r="AG8" i="6" l="1"/>
  <c r="AF9" i="6"/>
  <c r="S1" i="4"/>
  <c r="X46" i="3"/>
  <c r="AG9" i="6" l="1"/>
  <c r="AH8" i="6"/>
  <c r="T1" i="4"/>
  <c r="Y46" i="3"/>
  <c r="AR32" i="3"/>
  <c r="U1" i="4" l="1"/>
  <c r="Z46" i="3"/>
  <c r="AA46" i="3" s="1"/>
  <c r="AB46" i="3" s="1"/>
  <c r="AC46" i="3" s="1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6" i="3" s="1"/>
  <c r="AO46" i="3" s="1"/>
  <c r="AP46" i="3" s="1"/>
  <c r="AQ46" i="3" s="1"/>
  <c r="AI8" i="6"/>
  <c r="AH9" i="6"/>
  <c r="AR40" i="3"/>
  <c r="AR45" i="3" s="1"/>
  <c r="I9" i="3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J8" i="6" l="1"/>
  <c r="AI9" i="6"/>
  <c r="AR9" i="3"/>
  <c r="E3" i="3" s="1"/>
  <c r="AK8" i="6" l="1"/>
  <c r="AJ9" i="6"/>
  <c r="AL8" i="6" l="1"/>
  <c r="AK9" i="6"/>
  <c r="AL7" i="6" l="1"/>
  <c r="AL9" i="6"/>
  <c r="AM8" i="6"/>
  <c r="AN8" i="6" l="1"/>
  <c r="AM9" i="6"/>
  <c r="AN9" i="6" l="1"/>
  <c r="AO8" i="6"/>
  <c r="AP8" i="6" l="1"/>
  <c r="AO9" i="6"/>
  <c r="AQ8" i="6" l="1"/>
  <c r="AP9" i="6"/>
  <c r="AR8" i="6" l="1"/>
  <c r="AR9" i="6" s="1"/>
  <c r="AQ9" i="6"/>
  <c r="I10" i="6"/>
  <c r="H10" i="6"/>
  <c r="K14" i="16" l="1"/>
  <c r="K11" i="16"/>
  <c r="K42" i="16" l="1"/>
  <c r="K49" i="16"/>
  <c r="K46" i="16"/>
  <c r="K77" i="16" s="1"/>
  <c r="B119" i="16"/>
  <c r="B147" i="16" s="1"/>
  <c r="B84" i="16"/>
  <c r="B81" i="16"/>
  <c r="B112" i="16" s="1"/>
  <c r="B116" i="16"/>
  <c r="G33" i="15"/>
  <c r="N33" i="15"/>
  <c r="J33" i="15"/>
  <c r="F33" i="15"/>
  <c r="Q33" i="15"/>
  <c r="E33" i="15"/>
  <c r="H33" i="15"/>
  <c r="I33" i="15"/>
  <c r="O33" i="15"/>
  <c r="M33" i="15"/>
  <c r="P33" i="15"/>
  <c r="R33" i="15"/>
  <c r="K33" i="15"/>
  <c r="K57" i="15" l="1"/>
  <c r="K58" i="15"/>
  <c r="G57" i="15"/>
  <c r="G58" i="15"/>
  <c r="Q57" i="15"/>
  <c r="Q58" i="15"/>
  <c r="I57" i="15"/>
  <c r="I58" i="15"/>
  <c r="F57" i="15"/>
  <c r="F58" i="15"/>
  <c r="R57" i="15"/>
  <c r="R68" i="15" s="1"/>
  <c r="R58" i="15"/>
  <c r="P57" i="15"/>
  <c r="P67" i="15" s="1"/>
  <c r="P58" i="15"/>
  <c r="H57" i="15"/>
  <c r="H58" i="15"/>
  <c r="J57" i="15"/>
  <c r="J67" i="15" s="1"/>
  <c r="J58" i="15"/>
  <c r="O57" i="15"/>
  <c r="O58" i="15"/>
  <c r="M57" i="15"/>
  <c r="M67" i="15" s="1"/>
  <c r="M58" i="15"/>
  <c r="E57" i="15"/>
  <c r="E58" i="15"/>
  <c r="N57" i="15"/>
  <c r="N68" i="15" s="1"/>
  <c r="N58" i="15"/>
  <c r="K15" i="15"/>
  <c r="G15" i="15"/>
  <c r="I15" i="15"/>
  <c r="H15" i="15"/>
  <c r="M15" i="15"/>
  <c r="E15" i="15"/>
  <c r="F15" i="15"/>
  <c r="J15" i="15"/>
  <c r="Q15" i="15"/>
  <c r="R15" i="15"/>
  <c r="P68" i="15"/>
  <c r="P15" i="15"/>
  <c r="O15" i="15"/>
  <c r="N15" i="15"/>
  <c r="M68" i="15"/>
  <c r="L34" i="15"/>
  <c r="L36" i="15" s="1"/>
  <c r="P34" i="15"/>
  <c r="P36" i="15" s="1"/>
  <c r="F34" i="15"/>
  <c r="F36" i="15" s="1"/>
  <c r="J34" i="15"/>
  <c r="J36" i="15" s="1"/>
  <c r="G34" i="15"/>
  <c r="G36" i="15" s="1"/>
  <c r="R34" i="15"/>
  <c r="R36" i="15" s="1"/>
  <c r="M34" i="15"/>
  <c r="M36" i="15" s="1"/>
  <c r="N34" i="15"/>
  <c r="N36" i="15" s="1"/>
  <c r="K34" i="15"/>
  <c r="K36" i="15" s="1"/>
  <c r="O34" i="15"/>
  <c r="O36" i="15" s="1"/>
  <c r="I34" i="15"/>
  <c r="I36" i="15" s="1"/>
  <c r="H34" i="15"/>
  <c r="H36" i="15" s="1"/>
  <c r="E34" i="15"/>
  <c r="E36" i="15" s="1"/>
  <c r="Q34" i="15"/>
  <c r="L33" i="15"/>
  <c r="J68" i="15" l="1"/>
  <c r="N67" i="15"/>
  <c r="R67" i="15"/>
  <c r="R78" i="15" s="1"/>
  <c r="L57" i="15"/>
  <c r="L58" i="15"/>
  <c r="Q36" i="15"/>
  <c r="L15" i="15"/>
  <c r="G67" i="15"/>
  <c r="G68" i="15"/>
  <c r="K68" i="15"/>
  <c r="K67" i="15"/>
  <c r="N78" i="15"/>
  <c r="N77" i="15"/>
  <c r="P78" i="15"/>
  <c r="P77" i="15"/>
  <c r="J78" i="15"/>
  <c r="J77" i="15"/>
  <c r="H67" i="15"/>
  <c r="H68" i="15"/>
  <c r="I67" i="15"/>
  <c r="I68" i="15"/>
  <c r="Q67" i="15"/>
  <c r="Q68" i="15"/>
  <c r="O67" i="15"/>
  <c r="O68" i="15"/>
  <c r="F68" i="15"/>
  <c r="F67" i="15"/>
  <c r="M77" i="15"/>
  <c r="M78" i="15"/>
  <c r="E67" i="15"/>
  <c r="E68" i="15"/>
  <c r="R77" i="15" l="1"/>
  <c r="R87" i="15" s="1"/>
  <c r="E77" i="15"/>
  <c r="E78" i="15"/>
  <c r="M88" i="15"/>
  <c r="M94" i="15" s="1"/>
  <c r="M87" i="15"/>
  <c r="O77" i="15"/>
  <c r="O78" i="15"/>
  <c r="I78" i="15"/>
  <c r="I77" i="15"/>
  <c r="N88" i="15"/>
  <c r="N94" i="15" s="1"/>
  <c r="N87" i="15"/>
  <c r="N93" i="15" s="1"/>
  <c r="G78" i="15"/>
  <c r="G77" i="15"/>
  <c r="K78" i="15"/>
  <c r="K77" i="15"/>
  <c r="L67" i="15"/>
  <c r="L68" i="15"/>
  <c r="Q77" i="15"/>
  <c r="Q78" i="15"/>
  <c r="H78" i="15"/>
  <c r="H77" i="15"/>
  <c r="F78" i="15"/>
  <c r="F77" i="15"/>
  <c r="J87" i="15"/>
  <c r="J88" i="15"/>
  <c r="J94" i="15" s="1"/>
  <c r="P87" i="15"/>
  <c r="P88" i="15"/>
  <c r="P94" i="15" s="1"/>
  <c r="M93" i="15" l="1"/>
  <c r="J93" i="15"/>
  <c r="R88" i="15"/>
  <c r="R94" i="15" s="1"/>
  <c r="P93" i="15"/>
  <c r="M116" i="15"/>
  <c r="M115" i="15"/>
  <c r="J116" i="15"/>
  <c r="J115" i="15"/>
  <c r="N116" i="15"/>
  <c r="N115" i="15"/>
  <c r="P115" i="15"/>
  <c r="P116" i="15"/>
  <c r="M49" i="15"/>
  <c r="J49" i="15"/>
  <c r="P49" i="15"/>
  <c r="N49" i="15"/>
  <c r="L77" i="15"/>
  <c r="L78" i="15"/>
  <c r="G88" i="15"/>
  <c r="G94" i="15" s="1"/>
  <c r="G87" i="15"/>
  <c r="H88" i="15"/>
  <c r="H94" i="15" s="1"/>
  <c r="H87" i="15"/>
  <c r="Q88" i="15"/>
  <c r="Q94" i="15" s="1"/>
  <c r="Q87" i="15"/>
  <c r="E88" i="15"/>
  <c r="E94" i="15" s="1"/>
  <c r="E87" i="15"/>
  <c r="O87" i="15"/>
  <c r="O88" i="15"/>
  <c r="O94" i="15" s="1"/>
  <c r="I87" i="15"/>
  <c r="I88" i="15"/>
  <c r="I94" i="15" s="1"/>
  <c r="F88" i="15"/>
  <c r="F94" i="15" s="1"/>
  <c r="F87" i="15"/>
  <c r="K87" i="15"/>
  <c r="K88" i="15"/>
  <c r="K94" i="15" s="1"/>
  <c r="R49" i="15" l="1"/>
  <c r="R115" i="15"/>
  <c r="O93" i="15"/>
  <c r="H93" i="15"/>
  <c r="I93" i="15"/>
  <c r="F93" i="15"/>
  <c r="Q93" i="15"/>
  <c r="G93" i="15"/>
  <c r="R116" i="15"/>
  <c r="E93" i="15"/>
  <c r="K93" i="15"/>
  <c r="R93" i="15"/>
  <c r="F115" i="15"/>
  <c r="G116" i="15"/>
  <c r="G115" i="15"/>
  <c r="P125" i="15"/>
  <c r="P126" i="15"/>
  <c r="R126" i="15"/>
  <c r="R125" i="15"/>
  <c r="Q116" i="15"/>
  <c r="Q115" i="15"/>
  <c r="O116" i="15"/>
  <c r="O115" i="15"/>
  <c r="E116" i="15"/>
  <c r="E115" i="15"/>
  <c r="H115" i="15"/>
  <c r="H116" i="15"/>
  <c r="N125" i="15"/>
  <c r="N126" i="15"/>
  <c r="J126" i="15"/>
  <c r="J125" i="15"/>
  <c r="K116" i="15"/>
  <c r="K115" i="15"/>
  <c r="I116" i="15"/>
  <c r="I115" i="15"/>
  <c r="M125" i="15"/>
  <c r="M126" i="15"/>
  <c r="F116" i="15"/>
  <c r="G49" i="15"/>
  <c r="I49" i="15"/>
  <c r="K49" i="15"/>
  <c r="E49" i="15"/>
  <c r="H49" i="15"/>
  <c r="O49" i="15"/>
  <c r="Q49" i="15"/>
  <c r="L87" i="15"/>
  <c r="L88" i="15"/>
  <c r="L94" i="15" s="1"/>
  <c r="L93" i="15" l="1"/>
  <c r="F125" i="15"/>
  <c r="M135" i="15"/>
  <c r="M136" i="15"/>
  <c r="Q126" i="15"/>
  <c r="Q125" i="15"/>
  <c r="R136" i="15"/>
  <c r="R135" i="15"/>
  <c r="P135" i="15"/>
  <c r="P136" i="15"/>
  <c r="I125" i="15"/>
  <c r="I126" i="15"/>
  <c r="H125" i="15"/>
  <c r="H126" i="15"/>
  <c r="G126" i="15"/>
  <c r="G125" i="15"/>
  <c r="N136" i="15"/>
  <c r="N135" i="15"/>
  <c r="E125" i="15"/>
  <c r="E126" i="15"/>
  <c r="O125" i="15"/>
  <c r="O126" i="15"/>
  <c r="F126" i="15"/>
  <c r="L115" i="15"/>
  <c r="L116" i="15"/>
  <c r="K126" i="15"/>
  <c r="K125" i="15"/>
  <c r="J135" i="15"/>
  <c r="J136" i="15"/>
  <c r="L49" i="15"/>
  <c r="F135" i="15" l="1"/>
  <c r="J145" i="15"/>
  <c r="J146" i="15"/>
  <c r="J154" i="15" s="1"/>
  <c r="O136" i="15"/>
  <c r="O135" i="15"/>
  <c r="I136" i="15"/>
  <c r="I135" i="15"/>
  <c r="R145" i="15"/>
  <c r="R146" i="15"/>
  <c r="R154" i="15" s="1"/>
  <c r="L126" i="15"/>
  <c r="L125" i="15"/>
  <c r="H136" i="15"/>
  <c r="H135" i="15"/>
  <c r="M146" i="15"/>
  <c r="M154" i="15" s="1"/>
  <c r="M145" i="15"/>
  <c r="E136" i="15"/>
  <c r="E135" i="15"/>
  <c r="G135" i="15"/>
  <c r="G136" i="15"/>
  <c r="Q135" i="15"/>
  <c r="Q136" i="15"/>
  <c r="F136" i="15"/>
  <c r="K135" i="15"/>
  <c r="K136" i="15"/>
  <c r="N145" i="15"/>
  <c r="N146" i="15"/>
  <c r="N154" i="15" s="1"/>
  <c r="P146" i="15"/>
  <c r="P154" i="15" s="1"/>
  <c r="P145" i="15"/>
  <c r="D34" i="15"/>
  <c r="D33" i="15"/>
  <c r="R164" i="15" l="1"/>
  <c r="M164" i="15"/>
  <c r="J164" i="15"/>
  <c r="P164" i="15"/>
  <c r="N164" i="15"/>
  <c r="J163" i="15"/>
  <c r="N110" i="15"/>
  <c r="R110" i="15"/>
  <c r="J110" i="15"/>
  <c r="N163" i="15"/>
  <c r="P163" i="15"/>
  <c r="R163" i="15"/>
  <c r="P110" i="15"/>
  <c r="M110" i="15"/>
  <c r="M163" i="15"/>
  <c r="D57" i="15"/>
  <c r="D58" i="15"/>
  <c r="F145" i="15"/>
  <c r="C34" i="15"/>
  <c r="C35" i="15" s="1"/>
  <c r="D36" i="15"/>
  <c r="C36" i="15" s="1"/>
  <c r="L136" i="15"/>
  <c r="L135" i="15"/>
  <c r="G145" i="15"/>
  <c r="G146" i="15"/>
  <c r="G154" i="15" s="1"/>
  <c r="E146" i="15"/>
  <c r="E154" i="15" s="1"/>
  <c r="E145" i="15"/>
  <c r="H146" i="15"/>
  <c r="H154" i="15" s="1"/>
  <c r="H145" i="15"/>
  <c r="O145" i="15"/>
  <c r="O146" i="15"/>
  <c r="O154" i="15" s="1"/>
  <c r="Q146" i="15"/>
  <c r="Q154" i="15" s="1"/>
  <c r="Q145" i="15"/>
  <c r="F146" i="15"/>
  <c r="F154" i="15" s="1"/>
  <c r="K145" i="15"/>
  <c r="K146" i="15"/>
  <c r="K154" i="15" s="1"/>
  <c r="I146" i="15"/>
  <c r="I154" i="15" s="1"/>
  <c r="I145" i="15"/>
  <c r="D15" i="15"/>
  <c r="C24" i="15"/>
  <c r="C25" i="15" s="1"/>
  <c r="I164" i="15" l="1"/>
  <c r="G164" i="15"/>
  <c r="K164" i="15"/>
  <c r="E164" i="15"/>
  <c r="F164" i="15"/>
  <c r="C164" i="15" s="1"/>
  <c r="C165" i="15" s="1"/>
  <c r="O164" i="15"/>
  <c r="Q164" i="15"/>
  <c r="H164" i="15"/>
  <c r="K163" i="15"/>
  <c r="F163" i="15"/>
  <c r="I110" i="15"/>
  <c r="O163" i="15"/>
  <c r="I163" i="15"/>
  <c r="H163" i="15"/>
  <c r="F110" i="15"/>
  <c r="K110" i="15"/>
  <c r="H110" i="15"/>
  <c r="O110" i="15"/>
  <c r="Q163" i="15"/>
  <c r="Q110" i="15"/>
  <c r="G163" i="15"/>
  <c r="G110" i="15"/>
  <c r="E163" i="15"/>
  <c r="E110" i="15"/>
  <c r="L146" i="15"/>
  <c r="L154" i="15" s="1"/>
  <c r="L145" i="15"/>
  <c r="D68" i="15"/>
  <c r="C68" i="15" s="1"/>
  <c r="C69" i="15" s="1"/>
  <c r="D67" i="15"/>
  <c r="C58" i="15"/>
  <c r="C59" i="15" s="1"/>
  <c r="L164" i="15" l="1"/>
  <c r="L163" i="15"/>
  <c r="L110" i="15"/>
  <c r="D77" i="15"/>
  <c r="D78" i="15"/>
  <c r="D88" i="15" l="1"/>
  <c r="D94" i="15" s="1"/>
  <c r="C94" i="15" s="1"/>
  <c r="D87" i="15"/>
  <c r="C78" i="15"/>
  <c r="C79" i="15" s="1"/>
  <c r="D93" i="15" l="1"/>
  <c r="D49" i="15"/>
  <c r="D115" i="15"/>
  <c r="D116" i="15"/>
  <c r="C88" i="15"/>
  <c r="C89" i="15" s="1"/>
  <c r="C116" i="15" l="1"/>
  <c r="C117" i="15" s="1"/>
  <c r="D126" i="15"/>
  <c r="C126" i="15" s="1"/>
  <c r="C127" i="15" s="1"/>
  <c r="D125" i="15"/>
  <c r="D136" i="15" l="1"/>
  <c r="C136" i="15" s="1"/>
  <c r="C137" i="15" s="1"/>
  <c r="D135" i="15"/>
  <c r="E8" i="15"/>
  <c r="L8" i="15"/>
  <c r="G8" i="15"/>
  <c r="M8" i="15"/>
  <c r="Q8" i="15"/>
  <c r="F8" i="15"/>
  <c r="Q109" i="15"/>
  <c r="P109" i="15"/>
  <c r="R109" i="15"/>
  <c r="G109" i="15"/>
  <c r="N109" i="15"/>
  <c r="E109" i="15"/>
  <c r="F109" i="15"/>
  <c r="O109" i="15"/>
  <c r="J109" i="15"/>
  <c r="K109" i="15"/>
  <c r="I109" i="15"/>
  <c r="G16" i="11" s="1"/>
  <c r="L109" i="15"/>
  <c r="M109" i="15"/>
  <c r="H109" i="15"/>
  <c r="G23" i="11" l="1"/>
  <c r="K23" i="11" s="1"/>
  <c r="M23" i="11" s="1"/>
  <c r="F10" i="15"/>
  <c r="R8" i="15"/>
  <c r="O8" i="15"/>
  <c r="I8" i="15"/>
  <c r="N8" i="15"/>
  <c r="K8" i="15"/>
  <c r="H8" i="15"/>
  <c r="P8" i="15"/>
  <c r="J8" i="15"/>
  <c r="G15" i="11"/>
  <c r="G18" i="11"/>
  <c r="K18" i="11" s="1"/>
  <c r="M18" i="11" s="1"/>
  <c r="G22" i="11"/>
  <c r="K22" i="11" s="1"/>
  <c r="M22" i="11" s="1"/>
  <c r="G19" i="11"/>
  <c r="K19" i="11" s="1"/>
  <c r="M19" i="11" s="1"/>
  <c r="D145" i="15"/>
  <c r="D146" i="15"/>
  <c r="G13" i="11"/>
  <c r="K13" i="11" s="1"/>
  <c r="M13" i="11" s="1"/>
  <c r="G21" i="11"/>
  <c r="K21" i="11" s="1"/>
  <c r="M21" i="11" s="1"/>
  <c r="G20" i="11"/>
  <c r="K20" i="11" s="1"/>
  <c r="M20" i="11" s="1"/>
  <c r="G14" i="11"/>
  <c r="G12" i="11"/>
  <c r="D163" i="15" l="1"/>
  <c r="D164" i="15"/>
  <c r="D154" i="15"/>
  <c r="C154" i="15" s="1"/>
  <c r="C146" i="15"/>
  <c r="C147" i="15" s="1"/>
  <c r="D110" i="15"/>
  <c r="D8" i="15" s="1"/>
  <c r="D174" i="15" l="1"/>
  <c r="D173" i="15"/>
  <c r="D183" i="15" l="1"/>
  <c r="D184" i="15"/>
  <c r="E174" i="15"/>
  <c r="I174" i="15"/>
  <c r="P174" i="15"/>
  <c r="G174" i="15"/>
  <c r="K174" i="15"/>
  <c r="L174" i="15"/>
  <c r="J174" i="15"/>
  <c r="R174" i="15"/>
  <c r="K173" i="15"/>
  <c r="K184" i="15" s="1"/>
  <c r="M174" i="15"/>
  <c r="N174" i="15"/>
  <c r="N173" i="15"/>
  <c r="F173" i="15"/>
  <c r="F174" i="15"/>
  <c r="E173" i="15"/>
  <c r="O174" i="15"/>
  <c r="O173" i="15"/>
  <c r="H174" i="15"/>
  <c r="H173" i="15"/>
  <c r="Q173" i="15"/>
  <c r="Q174" i="15"/>
  <c r="P173" i="15"/>
  <c r="J173" i="15"/>
  <c r="J184" i="15" s="1"/>
  <c r="R173" i="15"/>
  <c r="R183" i="15" s="1"/>
  <c r="I173" i="15"/>
  <c r="I184" i="15" s="1"/>
  <c r="G173" i="15"/>
  <c r="L173" i="15"/>
  <c r="M173" i="15"/>
  <c r="L183" i="15" l="1"/>
  <c r="P183" i="15"/>
  <c r="H184" i="15"/>
  <c r="D160" i="15"/>
  <c r="D194" i="15"/>
  <c r="D193" i="15"/>
  <c r="E184" i="15"/>
  <c r="E183" i="15"/>
  <c r="M184" i="15"/>
  <c r="R184" i="15"/>
  <c r="R194" i="15" s="1"/>
  <c r="J183" i="15"/>
  <c r="J160" i="15" s="1"/>
  <c r="H183" i="15"/>
  <c r="H160" i="15" s="1"/>
  <c r="M183" i="15"/>
  <c r="K183" i="15"/>
  <c r="G183" i="15"/>
  <c r="F184" i="15"/>
  <c r="N183" i="15"/>
  <c r="O183" i="15"/>
  <c r="Q183" i="15"/>
  <c r="I183" i="15"/>
  <c r="L184" i="15"/>
  <c r="L160" i="15" s="1"/>
  <c r="P184" i="15"/>
  <c r="G184" i="15"/>
  <c r="F183" i="15"/>
  <c r="N184" i="15"/>
  <c r="O184" i="15"/>
  <c r="Q184" i="15"/>
  <c r="R160" i="15" l="1"/>
  <c r="P160" i="15"/>
  <c r="I194" i="15"/>
  <c r="I193" i="15"/>
  <c r="H194" i="15"/>
  <c r="H193" i="15"/>
  <c r="R193" i="15"/>
  <c r="G193" i="15"/>
  <c r="G194" i="15"/>
  <c r="J194" i="15"/>
  <c r="J193" i="15"/>
  <c r="L193" i="15"/>
  <c r="O160" i="15"/>
  <c r="O194" i="15"/>
  <c r="O193" i="15"/>
  <c r="K194" i="15"/>
  <c r="K193" i="15"/>
  <c r="L194" i="15"/>
  <c r="P193" i="15"/>
  <c r="F160" i="15"/>
  <c r="F194" i="15"/>
  <c r="F193" i="15"/>
  <c r="N194" i="15"/>
  <c r="N193" i="15"/>
  <c r="M160" i="15"/>
  <c r="M194" i="15"/>
  <c r="M193" i="15"/>
  <c r="P194" i="15"/>
  <c r="Q193" i="15"/>
  <c r="Q194" i="15"/>
  <c r="E194" i="15"/>
  <c r="E193" i="15"/>
  <c r="D203" i="15"/>
  <c r="D159" i="15" s="1"/>
  <c r="D204" i="15"/>
  <c r="E160" i="15"/>
  <c r="K160" i="15"/>
  <c r="N160" i="15"/>
  <c r="Q160" i="15"/>
  <c r="I160" i="15"/>
  <c r="G160" i="15"/>
  <c r="D9" i="15" l="1"/>
  <c r="D10" i="15" s="1"/>
  <c r="D7" i="15"/>
  <c r="G11" i="11" s="1"/>
  <c r="F204" i="15"/>
  <c r="F203" i="15"/>
  <c r="O204" i="15"/>
  <c r="O203" i="15"/>
  <c r="O159" i="15" s="1"/>
  <c r="O9" i="15" s="1"/>
  <c r="J204" i="15"/>
  <c r="J203" i="15"/>
  <c r="G204" i="15"/>
  <c r="G203" i="15"/>
  <c r="N204" i="15"/>
  <c r="N203" i="15"/>
  <c r="K204" i="15"/>
  <c r="K203" i="15"/>
  <c r="I204" i="15"/>
  <c r="I203" i="15"/>
  <c r="M204" i="15"/>
  <c r="M203" i="15"/>
  <c r="R204" i="15"/>
  <c r="R203" i="15"/>
  <c r="P204" i="15"/>
  <c r="P203" i="15"/>
  <c r="L204" i="15"/>
  <c r="L203" i="15"/>
  <c r="L159" i="15" s="1"/>
  <c r="H204" i="15"/>
  <c r="H203" i="15"/>
  <c r="Q204" i="15"/>
  <c r="Q203" i="15"/>
  <c r="Q159" i="15" s="1"/>
  <c r="E204" i="15"/>
  <c r="E203" i="15"/>
  <c r="E159" i="15" s="1"/>
  <c r="Q9" i="15" l="1"/>
  <c r="Q10" i="15" s="1"/>
  <c r="Q7" i="15"/>
  <c r="L9" i="15"/>
  <c r="L10" i="15" s="1"/>
  <c r="L7" i="15"/>
  <c r="E9" i="15"/>
  <c r="E10" i="15" s="1"/>
  <c r="E7" i="15"/>
  <c r="K11" i="11"/>
  <c r="G31" i="11"/>
  <c r="O10" i="15"/>
  <c r="C9" i="15" l="1"/>
  <c r="C10" i="15"/>
  <c r="M11" i="11"/>
  <c r="K31" i="11"/>
  <c r="M32" i="11" l="1"/>
  <c r="M31" i="11"/>
  <c r="N31" i="11" s="1"/>
  <c r="K112" i="16"/>
  <c r="K84" i="16"/>
  <c r="K119" i="16"/>
  <c r="K81" i="16"/>
  <c r="K116" i="16"/>
  <c r="K147" i="16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  <comment ref="P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PARA MUDANÇA E SUBITEM
=SE(E21="";"";SE(E20="";LIN($A$2)&amp;"."&amp;CONT.VALORES($E$21:E21);LIN($A$1)-CONTAR.VAZIO($E$21:E21)&amp;"."&amp;LIN(A21)))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D23" authorId="0">
      <text>
        <r>
          <rPr>
            <b/>
            <sz val="8"/>
            <color indexed="81"/>
            <rFont val="Tahoma"/>
            <family val="2"/>
          </rPr>
          <t>User: 
Contagem de Segunda a Sexta, mais o sábado da semana anterior.</t>
        </r>
      </text>
    </comment>
    <comment ref="D3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6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7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8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1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3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4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5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6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7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8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19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  <comment ref="D203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Contagem de Segunda a Sexta, mais o sábado da semana anterior.</t>
        </r>
      </text>
    </comment>
  </commentList>
</comments>
</file>

<file path=xl/sharedStrings.xml><?xml version="1.0" encoding="utf-8"?>
<sst xmlns="http://schemas.openxmlformats.org/spreadsheetml/2006/main" count="3690" uniqueCount="636">
  <si>
    <t>Item</t>
  </si>
  <si>
    <t>Descrição</t>
  </si>
  <si>
    <t>1.1</t>
  </si>
  <si>
    <t>1.2</t>
  </si>
  <si>
    <t>1.3</t>
  </si>
  <si>
    <t>1.4</t>
  </si>
  <si>
    <t>1.5</t>
  </si>
  <si>
    <t>1.6</t>
  </si>
  <si>
    <t>1.7</t>
  </si>
  <si>
    <t>2.1</t>
  </si>
  <si>
    <t>3.1</t>
  </si>
  <si>
    <t>Fundação</t>
  </si>
  <si>
    <t>4.1</t>
  </si>
  <si>
    <t>4.2</t>
  </si>
  <si>
    <t>5.1</t>
  </si>
  <si>
    <t>Cobertura</t>
  </si>
  <si>
    <t>6.1</t>
  </si>
  <si>
    <t>6.2</t>
  </si>
  <si>
    <t>6.3</t>
  </si>
  <si>
    <t>6.4</t>
  </si>
  <si>
    <t>7.1</t>
  </si>
  <si>
    <t>7.2</t>
  </si>
  <si>
    <t>9.1</t>
  </si>
  <si>
    <t>8.3</t>
  </si>
  <si>
    <t>6.5</t>
  </si>
  <si>
    <t>Pavimento</t>
  </si>
  <si>
    <t>Concreto 30 MPA</t>
  </si>
  <si>
    <t>Total</t>
  </si>
  <si>
    <t>PUC</t>
  </si>
  <si>
    <t>Tipo</t>
  </si>
  <si>
    <t>Telhado</t>
  </si>
  <si>
    <t>Térreo</t>
  </si>
  <si>
    <t>Pilares</t>
  </si>
  <si>
    <t>Laje e vigas</t>
  </si>
  <si>
    <t>6º pavt.</t>
  </si>
  <si>
    <t>Armação</t>
  </si>
  <si>
    <t>Taxa</t>
  </si>
  <si>
    <t>Forma</t>
  </si>
  <si>
    <t>Alvenaria</t>
  </si>
  <si>
    <t>Pintura Acrílica c/ emassamento</t>
  </si>
  <si>
    <t>garagem</t>
  </si>
  <si>
    <t>escada</t>
  </si>
  <si>
    <t>halls</t>
  </si>
  <si>
    <t>fachada</t>
  </si>
  <si>
    <t>área comum</t>
  </si>
  <si>
    <t>apto. Porteiro</t>
  </si>
  <si>
    <t>circulação</t>
  </si>
  <si>
    <t>qto. Empregada</t>
  </si>
  <si>
    <t>sala</t>
  </si>
  <si>
    <t>suíte</t>
  </si>
  <si>
    <t>suite 2</t>
  </si>
  <si>
    <t>suite 3</t>
  </si>
  <si>
    <t>suite 4</t>
  </si>
  <si>
    <t>varanda</t>
  </si>
  <si>
    <t>somatório</t>
  </si>
  <si>
    <t>hall social</t>
  </si>
  <si>
    <t>hall serviço</t>
  </si>
  <si>
    <t>banheiro</t>
  </si>
  <si>
    <t>lixo</t>
  </si>
  <si>
    <t>a serv.</t>
  </si>
  <si>
    <t>cozinha</t>
  </si>
  <si>
    <t>lav</t>
  </si>
  <si>
    <t>banheiro2</t>
  </si>
  <si>
    <t>banheiro3</t>
  </si>
  <si>
    <t>banheiro1</t>
  </si>
  <si>
    <t>wc</t>
  </si>
  <si>
    <t>porteiro</t>
  </si>
  <si>
    <t>antecamara</t>
  </si>
  <si>
    <t>Forro de Gesso</t>
  </si>
  <si>
    <t>Manta Asfáltica</t>
  </si>
  <si>
    <t>PM 1</t>
  </si>
  <si>
    <t>PCF 3</t>
  </si>
  <si>
    <t>PM 4</t>
  </si>
  <si>
    <t>PM 5</t>
  </si>
  <si>
    <t>Esquadria de Alumínio</t>
  </si>
  <si>
    <t>JA 1</t>
  </si>
  <si>
    <t>JA 2</t>
  </si>
  <si>
    <t>JA 3</t>
  </si>
  <si>
    <t>JA 4</t>
  </si>
  <si>
    <t>JA 5</t>
  </si>
  <si>
    <t>JA 6</t>
  </si>
  <si>
    <t>JA 7</t>
  </si>
  <si>
    <t>JA 8</t>
  </si>
  <si>
    <t>JA 9</t>
  </si>
  <si>
    <t>JA 10</t>
  </si>
  <si>
    <t>JA 16</t>
  </si>
  <si>
    <t>JA 17</t>
  </si>
  <si>
    <t>JA 18</t>
  </si>
  <si>
    <t>Limpeza do terreno</t>
  </si>
  <si>
    <t>Escavações manuais</t>
  </si>
  <si>
    <t>Compactação do solo</t>
  </si>
  <si>
    <t>Elevadores</t>
  </si>
  <si>
    <t>Desmobilização do canteiro</t>
  </si>
  <si>
    <t>Limpeza final</t>
  </si>
  <si>
    <t>Instalações Elétricas</t>
  </si>
  <si>
    <t>Instalações de Telefone/Interfone/Antena</t>
  </si>
  <si>
    <t>Instalação de SPDA</t>
  </si>
  <si>
    <t>Instalações Hidro-sanitárias</t>
  </si>
  <si>
    <t>Instalações de Combate a Incêndio</t>
  </si>
  <si>
    <t>Instalações de Gás</t>
  </si>
  <si>
    <t>Unid.</t>
  </si>
  <si>
    <t>2.1.1</t>
  </si>
  <si>
    <t>2.1.2</t>
  </si>
  <si>
    <t>2.1.3</t>
  </si>
  <si>
    <t>3.1.1</t>
  </si>
  <si>
    <t>3.1.2</t>
  </si>
  <si>
    <t>3.1.3</t>
  </si>
  <si>
    <t>4.1.1</t>
  </si>
  <si>
    <t>4.2.1</t>
  </si>
  <si>
    <t>4.2.2</t>
  </si>
  <si>
    <t>5.1.1</t>
  </si>
  <si>
    <t>5.1.2</t>
  </si>
  <si>
    <t>6.1.1</t>
  </si>
  <si>
    <t>6.1.2</t>
  </si>
  <si>
    <t>6.1.3</t>
  </si>
  <si>
    <t>6.2.1</t>
  </si>
  <si>
    <t>6.2.2</t>
  </si>
  <si>
    <t>6.2.3</t>
  </si>
  <si>
    <t>6.3.1</t>
  </si>
  <si>
    <t>6.4.1</t>
  </si>
  <si>
    <t>6.4.2</t>
  </si>
  <si>
    <t>6.4.3</t>
  </si>
  <si>
    <t>6.5.1</t>
  </si>
  <si>
    <t>6.5.2</t>
  </si>
  <si>
    <t>7.1.1</t>
  </si>
  <si>
    <t>7.1.2</t>
  </si>
  <si>
    <t>7.1.3</t>
  </si>
  <si>
    <t>7.1.4</t>
  </si>
  <si>
    <t>7.1.5</t>
  </si>
  <si>
    <t>7.2.1</t>
  </si>
  <si>
    <t>7.2.2</t>
  </si>
  <si>
    <t>7.2.3</t>
  </si>
  <si>
    <t>7.2.4</t>
  </si>
  <si>
    <t>7.2.5</t>
  </si>
  <si>
    <t>8.2.1</t>
  </si>
  <si>
    <t>8.2.2</t>
  </si>
  <si>
    <t>8.2.3</t>
  </si>
  <si>
    <t>8.2.4</t>
  </si>
  <si>
    <t>8.2.5</t>
  </si>
  <si>
    <t>8.2.6</t>
  </si>
  <si>
    <t>8.3.1</t>
  </si>
  <si>
    <t>9.2.1</t>
  </si>
  <si>
    <t>9.2.2</t>
  </si>
  <si>
    <t>9.2.3</t>
  </si>
  <si>
    <t>m²</t>
  </si>
  <si>
    <t>vb</t>
  </si>
  <si>
    <t>un</t>
  </si>
  <si>
    <t>m</t>
  </si>
  <si>
    <t>h</t>
  </si>
  <si>
    <t>mês</t>
  </si>
  <si>
    <t>m³</t>
  </si>
  <si>
    <t>kg</t>
  </si>
  <si>
    <t>Consultorias diversas</t>
  </si>
  <si>
    <t>Levantamento topográfico</t>
  </si>
  <si>
    <t>Projeto de arquitetura</t>
  </si>
  <si>
    <t>Projeto de instalações</t>
  </si>
  <si>
    <t>Sondagem + mobilização</t>
  </si>
  <si>
    <t>1.1.1</t>
  </si>
  <si>
    <t>1.1.2</t>
  </si>
  <si>
    <t>1.1.3</t>
  </si>
  <si>
    <t>1.1.4</t>
  </si>
  <si>
    <t>1.1.5</t>
  </si>
  <si>
    <t>1.1.6</t>
  </si>
  <si>
    <t>Tapumes / cercas</t>
  </si>
  <si>
    <t>Barracão</t>
  </si>
  <si>
    <t>Placa de obra</t>
  </si>
  <si>
    <t>Instalações provisórias</t>
  </si>
  <si>
    <t>Locação da obra (gabarito)</t>
  </si>
  <si>
    <t>Retro-escavadeira</t>
  </si>
  <si>
    <t>Guinchos</t>
  </si>
  <si>
    <t>Manutenção dos equipamentos</t>
  </si>
  <si>
    <t>Ferramentas</t>
  </si>
  <si>
    <t>Engenheiro civil</t>
  </si>
  <si>
    <t>Mestre de obras</t>
  </si>
  <si>
    <t>Almoxarife</t>
  </si>
  <si>
    <t>Consumos de água, luz e telefone</t>
  </si>
  <si>
    <t>Material de escritório</t>
  </si>
  <si>
    <t>Medicamentos de emergência</t>
  </si>
  <si>
    <t>E.P.I. / uniformes</t>
  </si>
  <si>
    <t>Bebedouros e extintores</t>
  </si>
  <si>
    <t>Retirada de entulho</t>
  </si>
  <si>
    <t>Transporte diversos</t>
  </si>
  <si>
    <t>1.2.1</t>
  </si>
  <si>
    <t>1.2.2</t>
  </si>
  <si>
    <t>1.2.3</t>
  </si>
  <si>
    <t>1.2.4</t>
  </si>
  <si>
    <t>1.2.5</t>
  </si>
  <si>
    <t>1.3.1</t>
  </si>
  <si>
    <t>1.3.2</t>
  </si>
  <si>
    <t>1.3.3</t>
  </si>
  <si>
    <t>1.3.4</t>
  </si>
  <si>
    <t>1.5.1</t>
  </si>
  <si>
    <t>1.6.1</t>
  </si>
  <si>
    <t>1.7.1</t>
  </si>
  <si>
    <t>%</t>
  </si>
  <si>
    <t>$</t>
  </si>
  <si>
    <t>[%] Mensal</t>
  </si>
  <si>
    <t>Total Mensal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</si>
  <si>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</si>
  <si>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</si>
  <si>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</si>
  <si>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</si>
  <si>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</si>
  <si>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</si>
  <si>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</si>
  <si>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</si>
  <si>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</si>
  <si>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1.7.2</t>
  </si>
  <si>
    <t>1.7.3</t>
  </si>
  <si>
    <t>Sub Item</t>
  </si>
  <si>
    <t>Composição</t>
  </si>
  <si>
    <t>exo Y:</t>
  </si>
  <si>
    <t>SERVIÇOS COMPLEMENTARES</t>
  </si>
  <si>
    <t>SERVIÇOS TÉCNICOS</t>
  </si>
  <si>
    <t>INSTALAÇÕES PROVISÓRIAS</t>
  </si>
  <si>
    <t>EQUIPAMENTOS</t>
  </si>
  <si>
    <t>DESPESAS INDIRETAS</t>
  </si>
  <si>
    <t>LIMPEZA DA OBRA</t>
  </si>
  <si>
    <t xml:space="preserve">TRANSPORTE </t>
  </si>
  <si>
    <t>MOVIMENTO DE TERRA</t>
  </si>
  <si>
    <t>FUNDAÇÃO</t>
  </si>
  <si>
    <t>ESTRUTURA</t>
  </si>
  <si>
    <t>ALVENARIA</t>
  </si>
  <si>
    <t>ESQUADRIAS</t>
  </si>
  <si>
    <t>IMPERMEABILIZAÇÃO</t>
  </si>
  <si>
    <t>REVESTIMENTO EXTERNO</t>
  </si>
  <si>
    <t>PINTURA</t>
  </si>
  <si>
    <t>INSTALAÇÕES PREDIAIS</t>
  </si>
  <si>
    <t>Vl. Unit. [R$]</t>
  </si>
  <si>
    <t>Vl. Total [R$]</t>
  </si>
  <si>
    <t>CRONOGRAMA FÍSICO-FINANCEIRO</t>
  </si>
  <si>
    <t>[%] Acumulado</t>
  </si>
  <si>
    <t>Subsolo</t>
  </si>
  <si>
    <t xml:space="preserve">Laje </t>
  </si>
  <si>
    <t>Cortina e Cisterna</t>
  </si>
  <si>
    <t>PM (0,70 x2,10m)</t>
  </si>
  <si>
    <t>PCB</t>
  </si>
  <si>
    <t>Visita (0,60x0,60m)</t>
  </si>
  <si>
    <t>Piso em concreto</t>
  </si>
  <si>
    <t>Vigas</t>
  </si>
  <si>
    <t>Laje</t>
  </si>
  <si>
    <t>Caixa d'água</t>
  </si>
  <si>
    <t xml:space="preserve">PCF </t>
  </si>
  <si>
    <t>PM (0,60x2,10m)</t>
  </si>
  <si>
    <t>PM (0,80x2,10m)</t>
  </si>
  <si>
    <t>PM 2</t>
  </si>
  <si>
    <t>PM 3</t>
  </si>
  <si>
    <t>PM X</t>
  </si>
  <si>
    <t>PAX 1</t>
  </si>
  <si>
    <t>PAX 2</t>
  </si>
  <si>
    <t>PAX</t>
  </si>
  <si>
    <t>PX</t>
  </si>
  <si>
    <t>LEVANTAMENTO - OBRA JOÃO LIRA</t>
  </si>
  <si>
    <t>A</t>
  </si>
  <si>
    <t>B</t>
  </si>
  <si>
    <t>C</t>
  </si>
  <si>
    <t>Observação</t>
  </si>
  <si>
    <t>Sapata</t>
  </si>
  <si>
    <t xml:space="preserve">Subsolo </t>
  </si>
  <si>
    <t>parede, cs bomba e lava-pé</t>
  </si>
  <si>
    <t>Demarcação de vagas</t>
  </si>
  <si>
    <t xml:space="preserve">   Subsolo, Térreo</t>
  </si>
  <si>
    <t>sala, quarto e circ</t>
  </si>
  <si>
    <t>7.1.6</t>
  </si>
  <si>
    <t>varandas</t>
  </si>
  <si>
    <t>banhos,lav e wc</t>
  </si>
  <si>
    <t>coz, area serv e quarto emp.</t>
  </si>
  <si>
    <t>dependência e sauna</t>
  </si>
  <si>
    <t>7.2.6</t>
  </si>
  <si>
    <t>Rodapé em Porcelanato</t>
  </si>
  <si>
    <t>Quant.</t>
  </si>
  <si>
    <t>Descrição do Serviço</t>
  </si>
  <si>
    <t>Quantd.</t>
  </si>
  <si>
    <t>ml</t>
  </si>
  <si>
    <t>Vigia (01 diurno e 01 noturno)</t>
  </si>
  <si>
    <t>Armação (com corte e dobra)</t>
  </si>
  <si>
    <t xml:space="preserve">VALOR TOTAL = </t>
  </si>
  <si>
    <t>Serviço</t>
  </si>
  <si>
    <t>ESQUADRIA DE ALUMÍNIO</t>
  </si>
  <si>
    <t>FORRO E SANCA EM GESSO</t>
  </si>
  <si>
    <t>Revisão 0 - Jul_2010</t>
  </si>
  <si>
    <t xml:space="preserve">                                                                      TRABALHO DE CONSTRUÇÃO CIVIL II</t>
  </si>
  <si>
    <t xml:space="preserve">                                                                                                                                                                                     Curva "S"</t>
  </si>
  <si>
    <t>eixo X</t>
  </si>
  <si>
    <t>eixo Y</t>
  </si>
  <si>
    <t>1 mês</t>
  </si>
  <si>
    <t>2 meses</t>
  </si>
  <si>
    <t>3 meses</t>
  </si>
  <si>
    <t>11 meses</t>
  </si>
  <si>
    <t>12 meses</t>
  </si>
  <si>
    <t xml:space="preserve">ORÇAMENTO </t>
  </si>
  <si>
    <t>Custo para Legalização do imóvel</t>
  </si>
  <si>
    <t>8 meses</t>
  </si>
  <si>
    <t>9 meses</t>
  </si>
  <si>
    <t>1 meses</t>
  </si>
  <si>
    <t>4 meses</t>
  </si>
  <si>
    <t>8.1</t>
  </si>
  <si>
    <t>ELEVADORES PROVISÓRIOS</t>
  </si>
  <si>
    <t>8.1.1</t>
  </si>
  <si>
    <t xml:space="preserve"> </t>
  </si>
  <si>
    <t xml:space="preserve">1 mês </t>
  </si>
  <si>
    <t>Total de Meses sem intervalos</t>
  </si>
  <si>
    <t>Total de Meses com intervalos</t>
  </si>
  <si>
    <t xml:space="preserve">PRAZO DA OBRA: 16 meses </t>
  </si>
  <si>
    <t>Situação</t>
  </si>
  <si>
    <t>Finalizado</t>
  </si>
  <si>
    <t>Interrompido</t>
  </si>
  <si>
    <t>Início</t>
  </si>
  <si>
    <t>Término</t>
  </si>
  <si>
    <t>Tarefa</t>
  </si>
  <si>
    <t>Duração</t>
  </si>
  <si>
    <t>Início real</t>
  </si>
  <si>
    <t>Término real</t>
  </si>
  <si>
    <t>Data de Início</t>
  </si>
  <si>
    <t>Dias de atraso</t>
  </si>
  <si>
    <t>Dias adiantado</t>
  </si>
  <si>
    <t>Itens</t>
  </si>
  <si>
    <t>Valor</t>
  </si>
  <si>
    <t>Responsável</t>
  </si>
  <si>
    <t>Data:</t>
  </si>
  <si>
    <t xml:space="preserve">Da obra: </t>
  </si>
  <si>
    <t>Endereço:</t>
  </si>
  <si>
    <t>LISTA DE MATERIAIS</t>
  </si>
  <si>
    <t>Fornecidos por nós</t>
  </si>
  <si>
    <t>Sobras</t>
  </si>
  <si>
    <t>LISTA DE FERRAMENTAS</t>
  </si>
  <si>
    <t>Retorno</t>
  </si>
  <si>
    <t>da obra:</t>
  </si>
  <si>
    <t>V. diária</t>
  </si>
  <si>
    <t>V. hora</t>
  </si>
  <si>
    <t>V. empreitada</t>
  </si>
  <si>
    <t>CUSTO DA MÃO DE OBRA</t>
  </si>
  <si>
    <t>Nome</t>
  </si>
  <si>
    <t>Área de atuação</t>
  </si>
  <si>
    <t>Quant. Diária</t>
  </si>
  <si>
    <t>Levadas para obra</t>
  </si>
  <si>
    <t>DIÁRIO DE OBRAS</t>
  </si>
  <si>
    <t>NUMERO DO DIÁRIO</t>
  </si>
  <si>
    <t>CONSTRUTORA AUGUSTO LIMA</t>
  </si>
  <si>
    <t>PRAZO CONTRATUAL (DIAS)</t>
  </si>
  <si>
    <t>CONSTRUÇÃO, REFORMAS DECORAÇÃO DE INTERIORES</t>
  </si>
  <si>
    <t>DIAS TRABALHADOS</t>
  </si>
  <si>
    <t>www.augustolimaconstrucaoedecoracao.com</t>
  </si>
  <si>
    <t xml:space="preserve">SALDO DO PRAZO </t>
  </si>
  <si>
    <t>IDENTIFICAÇÃO DO EMPREENDIMENTO</t>
  </si>
  <si>
    <t>Nome da Obra:</t>
  </si>
  <si>
    <t>Início da Obra/Serviço:</t>
  </si>
  <si>
    <t>Contrato:</t>
  </si>
  <si>
    <t>Prevista da Conclusão:</t>
  </si>
  <si>
    <t>Tipo de Obra/Serviço:</t>
  </si>
  <si>
    <t>Endereço da Obra/Serviço:</t>
  </si>
  <si>
    <t>Telefone:</t>
  </si>
  <si>
    <t>IDENTIFICAÇÃO DO PROPRIENTÁRIO</t>
  </si>
  <si>
    <t>Nome ou Razão Social</t>
  </si>
  <si>
    <t>E-mail:</t>
  </si>
  <si>
    <t>MÃO DE OBRA</t>
  </si>
  <si>
    <t>DIRETA</t>
  </si>
  <si>
    <t>Função</t>
  </si>
  <si>
    <t>Descrição da Função</t>
  </si>
  <si>
    <t>Quant</t>
  </si>
  <si>
    <t>Subtotal:</t>
  </si>
  <si>
    <t>INDIRETA</t>
  </si>
  <si>
    <t>Empresa/ Autônomo</t>
  </si>
  <si>
    <t>INDIRETO</t>
  </si>
  <si>
    <t>DIRETO</t>
  </si>
  <si>
    <t>QUANT</t>
  </si>
  <si>
    <t>Subtotal</t>
  </si>
  <si>
    <t>CONDIÇÕES METEOROLOGICAS</t>
  </si>
  <si>
    <t>PERÍODO</t>
  </si>
  <si>
    <t>SOL</t>
  </si>
  <si>
    <t>NUBLADO</t>
  </si>
  <si>
    <t>CHUVA</t>
  </si>
  <si>
    <t>IMPRATICÁVEL</t>
  </si>
  <si>
    <t>Pluviometria (mm)</t>
  </si>
  <si>
    <t>Manhã</t>
  </si>
  <si>
    <t>Tarde</t>
  </si>
  <si>
    <t>Noite</t>
  </si>
  <si>
    <t>Observação:</t>
  </si>
  <si>
    <t>Pluviometria Total (mm)</t>
  </si>
  <si>
    <t>Mês</t>
  </si>
  <si>
    <t>Ano</t>
  </si>
  <si>
    <t>Contrato</t>
  </si>
  <si>
    <t>SERVIÇOS EXECUTADOS</t>
  </si>
  <si>
    <t>COMENTÁRIOS</t>
  </si>
  <si>
    <t>Assinatura Contratada</t>
  </si>
  <si>
    <t>Assinatura Fiscalização/Supervisão</t>
  </si>
  <si>
    <t>LISTA DE PENDÊNCIAS</t>
  </si>
  <si>
    <t>OCORRÊNCIAS</t>
  </si>
  <si>
    <t>INTERRUPÇÕES</t>
  </si>
  <si>
    <t>MOTIVO</t>
  </si>
  <si>
    <t>TOTAL</t>
  </si>
  <si>
    <t>LOCAL</t>
  </si>
  <si>
    <t>GERAL</t>
  </si>
  <si>
    <t>PARCIAL/ Hrs</t>
  </si>
  <si>
    <t>ÁREA</t>
  </si>
  <si>
    <t>Adiantamento</t>
  </si>
  <si>
    <t>V. à receber</t>
  </si>
  <si>
    <t>Atual</t>
  </si>
  <si>
    <t>Dias Trabalhados</t>
  </si>
  <si>
    <t>Ricardo</t>
  </si>
  <si>
    <t>Ajudante</t>
  </si>
  <si>
    <t>Silvio</t>
  </si>
  <si>
    <t>Rua Cassiopeia, n° 86, Taquara - RJ</t>
  </si>
  <si>
    <t>ajudante de pedreiro</t>
  </si>
  <si>
    <t>Jacarepaguá</t>
  </si>
  <si>
    <t>Reforma residencial</t>
  </si>
  <si>
    <t>Total direta + indireta:</t>
  </si>
  <si>
    <t>x</t>
  </si>
  <si>
    <t>Reforma de imóvel em Jacarepaguá</t>
  </si>
  <si>
    <t>limpeza</t>
  </si>
  <si>
    <t>DESPESAS DIRETAS</t>
  </si>
  <si>
    <t>Técnico em Edificações</t>
  </si>
  <si>
    <t>Ajudante de pedreiro</t>
  </si>
  <si>
    <t>Responsável por coordedar a equipe</t>
  </si>
  <si>
    <t xml:space="preserve">Houve a interrupção no horario acima registrado, por autoridade policial, que veio averiguar denûncia relacionada a </t>
  </si>
  <si>
    <t>questões judiciais entre o denunciante e o proprietário do imóvel não relacionada diretamente a execução direta da obra.</t>
  </si>
  <si>
    <t>Pedreiro</t>
  </si>
  <si>
    <t>Execução de sereviços diversos</t>
  </si>
  <si>
    <t>||</t>
  </si>
  <si>
    <t>Fornecimento de água.</t>
  </si>
  <si>
    <t>Fornecimento de água</t>
  </si>
  <si>
    <t>Edgard</t>
  </si>
  <si>
    <t>Téc. Edificações</t>
  </si>
  <si>
    <t>Samuel</t>
  </si>
  <si>
    <t>V. à pagar</t>
  </si>
  <si>
    <t>data</t>
  </si>
  <si>
    <t>despesas diversas</t>
  </si>
  <si>
    <t>descrição</t>
  </si>
  <si>
    <t>combustível</t>
  </si>
  <si>
    <t>valor</t>
  </si>
  <si>
    <t>lanche</t>
  </si>
  <si>
    <t>vassoura</t>
  </si>
  <si>
    <t>Organização de Ferramentas</t>
  </si>
  <si>
    <t>Raspagem de teto e parede da sala, quarto, corredor externo, iniciada a da faxada e da cozinha.</t>
  </si>
  <si>
    <t>Richard</t>
  </si>
  <si>
    <t>café</t>
  </si>
  <si>
    <t>caçamba de entulho</t>
  </si>
  <si>
    <t>Lampada</t>
  </si>
  <si>
    <t>peneira</t>
  </si>
  <si>
    <t>rabicho</t>
  </si>
  <si>
    <t>bocal</t>
  </si>
  <si>
    <t>fita isolante</t>
  </si>
  <si>
    <t>Chave de fenca</t>
  </si>
  <si>
    <t>chave philips</t>
  </si>
  <si>
    <t>passagem</t>
  </si>
  <si>
    <t>uniformes</t>
  </si>
  <si>
    <t>Imprimir projeto</t>
  </si>
  <si>
    <t>Remoção de entulho</t>
  </si>
  <si>
    <t>Caçamba de entulho</t>
  </si>
  <si>
    <t>Maximiliano Girola</t>
  </si>
  <si>
    <t>Chegada da caçamba de entulho</t>
  </si>
  <si>
    <t>Fechamento e chapisco do vão do arcondicionado da sala do pavimento 2 (dois)</t>
  </si>
  <si>
    <t>Chapisco da parede da janela do quarto 2 (dois) do pavimento 2 (dois)</t>
  </si>
  <si>
    <t xml:space="preserve">Raspagem da parede do quato </t>
  </si>
  <si>
    <t>Raspagem parede do quarto 1, 2 e do banheiro e do corredor e da sala(cozinha), do pavimento 1 (um).</t>
  </si>
  <si>
    <t>Dada continuidade da lipesa e remoção de entulho do imóvel</t>
  </si>
  <si>
    <t>Iniciada a lipesa e remoção de entulho do imóvel</t>
  </si>
  <si>
    <t>Dada continuidade da lipesa e remoção de entulho do imóvel.</t>
  </si>
  <si>
    <t>Raspagem do quarto 3 (três) e do corredor interno do pavimento 2 (dois)</t>
  </si>
  <si>
    <t>Iniciada a raspagem da parede da sala do pavimento 2 (dois)</t>
  </si>
  <si>
    <t>Iniciada a raspagem do teto da sala, da faxada e da cozinha.</t>
  </si>
  <si>
    <t xml:space="preserve">Aplicação de argamassa para correção de falhas no reboco das paredes do corredor externo, do quarto 3 (três) </t>
  </si>
  <si>
    <t>Aplicação de argamassa para correção de falhas no reboco das paredes do corredor interno do pavimento 2 (dois)</t>
  </si>
  <si>
    <t>Teto sala pav.2</t>
  </si>
  <si>
    <t>Interrupção da raspagem do teto da sala do pavimento 2 (dois);</t>
  </si>
  <si>
    <t xml:space="preserve">Foi informado ao empreiteiro que foi constatado a necessidade de uma vistoria pelos envolvidos na obra para avaliar </t>
  </si>
  <si>
    <t>a laje e a viga da sala do pavimento 2.</t>
  </si>
  <si>
    <t>PROFISSIONAL</t>
  </si>
  <si>
    <t>AJUDANTE</t>
  </si>
  <si>
    <t>V. Pago</t>
  </si>
  <si>
    <t>Luiz Fernando</t>
  </si>
  <si>
    <t>Iniciada a raspagem do prisma (clarabóia) de iluminação do pavimento 2 (dois)</t>
  </si>
  <si>
    <t>Retomada a raspagem do teto e viga da sala do pavimento 2 (dois) com a remoção do reboco enfraquecido.</t>
  </si>
  <si>
    <t>Remoção de entulho do reboco do teto;</t>
  </si>
  <si>
    <t>Aplicação embolso da parede da porta de entrada da sala do fechamento do vão do arcondicionado;</t>
  </si>
  <si>
    <t>Continuidade da verificação da instalação elétrica;</t>
  </si>
  <si>
    <t>Iniciada a colocação da placa da obra.</t>
  </si>
  <si>
    <t>Geladeira</t>
  </si>
  <si>
    <t>Elétro</t>
  </si>
  <si>
    <t>Chegada da geladeira para substituição da anterior;</t>
  </si>
  <si>
    <t>Colocada as escoras de apoio na viga da sala do pavimento 2 (dois)</t>
  </si>
  <si>
    <t>Escoras</t>
  </si>
  <si>
    <t>Escoras de apoio(de ferro)</t>
  </si>
  <si>
    <t>Aplicação fundo preparador na parede de fora da porta de entrada da sala do fechamento do vão do arcondicionado;</t>
  </si>
  <si>
    <t>Iniciada a colocação da ardosa da fachada;</t>
  </si>
  <si>
    <t xml:space="preserve">Fechamento do vão do ar do quarto 3 (três) </t>
  </si>
  <si>
    <t>Aplicação seladora na parede de fora da porta de entrada da sala do fechamento do vão do arcondicionado;</t>
  </si>
  <si>
    <t>Aplicação fundo preparador nas paredes internas da sala do fechamento do vão do arcondicionado;</t>
  </si>
  <si>
    <t>Finalizada a colocação da placa da obra.</t>
  </si>
  <si>
    <t>Aplicação de fundo preparador na parede do corredor externo</t>
  </si>
  <si>
    <t>Aplicação de selador na parede do corredor externo</t>
  </si>
  <si>
    <t>Embolço interno do fechamento do vão do ar do quarto 3 (três)</t>
  </si>
  <si>
    <t>Embolço externo do fechamento do vão do ar do quarto 3 (três)</t>
  </si>
  <si>
    <t>Retirado parte dos móveis para descarte</t>
  </si>
  <si>
    <t>Chapisco da parede extrena da lavanderia.</t>
  </si>
  <si>
    <t>Aplicação de selador na parede da escada de acesso ao pavimento 1 (um)</t>
  </si>
  <si>
    <t>Aplicação de argamassa na viga da garagem do parimento 2 (dois)</t>
  </si>
  <si>
    <t>Embolso da parede externa da lavanderia;</t>
  </si>
  <si>
    <t xml:space="preserve">Nesse dia devido ao atraso devido a falta de trem e a falta de cimento na obra os serviços iniciaram-se às 11:00 </t>
  </si>
  <si>
    <t>Embolso de parte da parede externa dos fundos dos quatos 2 e 3 do pavimento 2;</t>
  </si>
  <si>
    <t>Embolso da parte interna do vão do ar do quarto 3 do pavimento 2.</t>
  </si>
  <si>
    <t>Nesse dia devido ao atraso calsado pela mudança de rota os profissionais e ajudantes tiveram que esperar a chegada</t>
  </si>
  <si>
    <t>Dada continuidade a raspagem do prisma (clarabóia) de iluminação do pavimento 2 (dois)</t>
  </si>
  <si>
    <t>Martelete</t>
  </si>
  <si>
    <t>Furadeira SHR 263 BR</t>
  </si>
  <si>
    <t>Foi encomendado 2 metros cúbicos de areia.</t>
  </si>
  <si>
    <t>Foram levado para obra 7 sacos de cimento.</t>
  </si>
  <si>
    <t>Foi levado para obra mais 1/2 de areia para obra,</t>
  </si>
  <si>
    <t>Foi levada para obra duas escoras de apoio (de ferro).</t>
  </si>
  <si>
    <t>Foi feito o levantamento de orçamento de preço de loja de material de construção.</t>
  </si>
  <si>
    <t>Foi feita a instalação de água provisória com a mangueira, mas a mesma não suportou a pressão da água,</t>
  </si>
  <si>
    <t xml:space="preserve">Foi feita a instalação de água provisória com a mangueira </t>
  </si>
  <si>
    <t>Fechamos a conexão provisória de água com um bujão de 1/2.</t>
  </si>
  <si>
    <t>Perda</t>
  </si>
  <si>
    <t>Dano</t>
  </si>
  <si>
    <t>Data entrada</t>
  </si>
  <si>
    <t>Custo total das diárias</t>
  </si>
  <si>
    <t>Valor da diária</t>
  </si>
  <si>
    <t xml:space="preserve">Na semana </t>
  </si>
  <si>
    <t>do Técnico com a chave para iniciárem o serviço.</t>
  </si>
  <si>
    <t>Desceram para o pavimento 3 parte dos tijolos e o  clarofilito;</t>
  </si>
  <si>
    <t>Embolso da viga da parede sala;</t>
  </si>
  <si>
    <t>Retirada do arbusto (seco) da pare da frente do imóvel;</t>
  </si>
  <si>
    <t>Colocaram 2 m de areia para dentro;</t>
  </si>
  <si>
    <t>Dada continuidade da instalação provisória da água;</t>
  </si>
  <si>
    <t>Ajuntaram parte do entulho.</t>
  </si>
  <si>
    <t>marcação</t>
  </si>
  <si>
    <t>Limpeza do pavimento 3;</t>
  </si>
  <si>
    <t>Chapisco de parte da parede do quarto do pavimento 3;</t>
  </si>
  <si>
    <t>Ligação hidráulica da casa do vizinho para a nossa obra.</t>
  </si>
  <si>
    <t xml:space="preserve">Devido a alta pressão da água na instalação hidráulica provisória tivemos dificuldades para finalizar a mesma que será </t>
  </si>
  <si>
    <t>inspecionada na próxima visita.</t>
  </si>
  <si>
    <t>Utencílios em geral</t>
  </si>
  <si>
    <t>garrafa de café</t>
  </si>
  <si>
    <t>passador de café</t>
  </si>
  <si>
    <t>galão de água de 20 L</t>
  </si>
  <si>
    <t>geladeira Mabe</t>
  </si>
  <si>
    <t>bacia de tinta preta média</t>
  </si>
  <si>
    <t xml:space="preserve">bacia de tinta branca pequena c/alça </t>
  </si>
  <si>
    <t>espátula 3.8</t>
  </si>
  <si>
    <t>espátula 10.2</t>
  </si>
  <si>
    <t>espátual 12.7</t>
  </si>
  <si>
    <t>Data de retirada</t>
  </si>
  <si>
    <t>desempenadeira de metal liza</t>
  </si>
  <si>
    <t>rolo de tinta lã médio</t>
  </si>
  <si>
    <t>rolo de tinta lã baixa</t>
  </si>
  <si>
    <t>Data de início</t>
  </si>
  <si>
    <t>tincha roma</t>
  </si>
  <si>
    <t>Pintura</t>
  </si>
  <si>
    <t>Subitens</t>
  </si>
  <si>
    <t>Hidráulica</t>
  </si>
  <si>
    <t>cola polytube</t>
  </si>
  <si>
    <t>fita teflon pequena</t>
  </si>
  <si>
    <t>"T" 25mm</t>
  </si>
  <si>
    <t>Adaptador 25mm/1/2</t>
  </si>
  <si>
    <t>torneira plástica c/bico</t>
  </si>
  <si>
    <t>adaptador de mangueira 1/2</t>
  </si>
  <si>
    <t>mangueira de jardim verde 50mL</t>
  </si>
  <si>
    <t>M</t>
  </si>
  <si>
    <t>SE(E12="";"";SE(E11="";LIN($A$11)-10&amp;"."&amp;CONT.VALORES($E$11:E12);LIN($A$11)-10-CONTAR.VAZIO($E$11:E12)&amp;"."&amp;LIN(A11)-10))</t>
  </si>
  <si>
    <t>Areia</t>
  </si>
  <si>
    <t>2m³</t>
  </si>
  <si>
    <t>Elétrica</t>
  </si>
  <si>
    <t>Fita isolante média</t>
  </si>
  <si>
    <t>6 sacos</t>
  </si>
  <si>
    <t>2 folhas de lixa 180</t>
  </si>
  <si>
    <t>Seladora de 18 L</t>
  </si>
  <si>
    <t>Massa acrílica 25 Kg</t>
  </si>
  <si>
    <t>Régua de alumíneo 2m x 5cm</t>
  </si>
  <si>
    <t>Régua de alumíneo 2m x 7cm</t>
  </si>
  <si>
    <t>Baldes</t>
  </si>
  <si>
    <t>Baldes (loja)</t>
  </si>
  <si>
    <t>Sacos de cimento 50 Kg (loja)</t>
  </si>
  <si>
    <t>Tijolos 19 x 30 cm (loja)</t>
  </si>
  <si>
    <t>Talhadeira p/martelete n52171 800w</t>
  </si>
  <si>
    <t>Ponteiro p/martelete 10" no. ID 6103H</t>
  </si>
  <si>
    <t>Máquina martelete c/maleta Staley (SHR 263 BR)</t>
  </si>
  <si>
    <t xml:space="preserve">Extenção </t>
  </si>
  <si>
    <t>Data retirada</t>
  </si>
  <si>
    <t>Escoras de ferro</t>
  </si>
  <si>
    <t>Carrinho de mão</t>
  </si>
  <si>
    <t>corda</t>
  </si>
  <si>
    <t>Gancho</t>
  </si>
  <si>
    <t>Carretilha</t>
  </si>
  <si>
    <t>Cavadeira</t>
  </si>
  <si>
    <t>Chave de fenda fina</t>
  </si>
  <si>
    <t>Chave de Philips</t>
  </si>
  <si>
    <t>Alicate Universal No. 6</t>
  </si>
  <si>
    <t>Maleta</t>
  </si>
  <si>
    <t>Chave de fenda Mult</t>
  </si>
  <si>
    <t>Estilete</t>
  </si>
  <si>
    <t>Chave teste</t>
  </si>
  <si>
    <t>Pá</t>
  </si>
  <si>
    <t>Talhadeira</t>
  </si>
  <si>
    <t>Valor de acrecimo</t>
  </si>
  <si>
    <t>Alex</t>
  </si>
  <si>
    <t>Faltou</t>
  </si>
  <si>
    <t>Acrécimo</t>
  </si>
  <si>
    <t>Luis Fernando (Batata)</t>
  </si>
  <si>
    <t>Ademir</t>
  </si>
  <si>
    <t>Cosme</t>
  </si>
  <si>
    <t>Dispensado</t>
  </si>
  <si>
    <t>Custo_Diário_M_Obra</t>
  </si>
  <si>
    <t>Marcos</t>
  </si>
  <si>
    <t>P/outra obra</t>
  </si>
  <si>
    <t>Pediu p/sair</t>
  </si>
  <si>
    <t>Presentes</t>
  </si>
  <si>
    <t>Agricio</t>
  </si>
  <si>
    <t>Marcelus</t>
  </si>
  <si>
    <t>Total dias Mês</t>
  </si>
  <si>
    <t>Dias trab. semana</t>
  </si>
  <si>
    <t>Total da semana</t>
  </si>
  <si>
    <t>ABRIL</t>
  </si>
  <si>
    <t>MAIO</t>
  </si>
  <si>
    <t>JUNHO</t>
  </si>
  <si>
    <t>Quant. Sobra</t>
  </si>
  <si>
    <t>Data de início:</t>
  </si>
  <si>
    <t>CIMENTO</t>
  </si>
  <si>
    <t>AREIA</t>
  </si>
  <si>
    <t>TIJOLO 19X30</t>
  </si>
  <si>
    <t>ARGAMASSA</t>
  </si>
  <si>
    <t>Fornecidos por nós (Loja)</t>
  </si>
  <si>
    <t>Fornecidos por nós (comprado)</t>
  </si>
  <si>
    <t>Total de Faltas</t>
  </si>
  <si>
    <t>Total do Mês</t>
  </si>
  <si>
    <t>Aguardar</t>
  </si>
  <si>
    <t>Folga</t>
  </si>
  <si>
    <t>Feriado</t>
  </si>
  <si>
    <t>S/Expediente</t>
  </si>
  <si>
    <t>Emerson</t>
  </si>
  <si>
    <t>JULHO</t>
  </si>
  <si>
    <t>feriados</t>
  </si>
  <si>
    <t>Valor a ser quitado</t>
  </si>
  <si>
    <t>Total dias pagos no Mês</t>
  </si>
  <si>
    <t>Total dias trabalhados/Mês</t>
  </si>
  <si>
    <t>Total dias pago no 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</si>
</sst>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0\ &quot;x&quot;"/>
    <numFmt numFmtId="166" formatCode="0.00\ &quot;x&quot;"/>
    <numFmt numFmtId="167" formatCode="0.00\ &quot;=&quot;"/>
    <numFmt numFmtId="168" formatCode="0.00\ &quot;m²&quot;"/>
    <numFmt numFmtId="169" formatCode="0.00\ &quot;m³&quot;"/>
    <numFmt numFmtId="170" formatCode="0\ &quot;kg/m³&quot;"/>
    <numFmt numFmtId="171" formatCode="0\ &quot;kg&quot;"/>
    <numFmt numFmtId="172" formatCode="0.0\ &quot;m²&quot;"/>
    <numFmt numFmtId="173" formatCode="0.0\ &quot;m²/m³&quot;"/>
    <numFmt numFmtId="174" formatCode="0.00\ &quot;kg&quot;"/>
    <numFmt numFmtId="175" formatCode="0.00\ &quot;m&quot;"/>
    <numFmt numFmtId="176" formatCode="0.00\ &quot;unid.&quot;"/>
    <numFmt numFmtId="177" formatCode="0.0%"/>
    <numFmt numFmtId="178" formatCode="&quot;R$&quot;\ #,##0.00"/>
    <numFmt numFmtId="179" formatCode="d"/>
    <numFmt numFmtId="180" formatCode="dd\-mmm\-yy"/>
    <numFmt numFmtId="181" formatCode="h:mm;@"/>
    <numFmt numFmtId="182" formatCode="0.00&quot;m³&quot;"/>
  </numFmts>
  <fonts count="44" x14ac:knownFonts="1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8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color indexed="9"/>
      <name val="Tahoma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Tahoma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u/>
      <sz val="18"/>
      <name val="Arial Unicode MS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b/>
      <u/>
      <sz val="18"/>
      <name val="Agency FB"/>
      <family val="2"/>
    </font>
    <font>
      <sz val="10"/>
      <name val="Arial Unicode MS"/>
      <family val="2"/>
    </font>
    <font>
      <sz val="10"/>
      <color rgb="FFFF0000"/>
      <name val="Arial"/>
      <family val="2"/>
    </font>
    <font>
      <b/>
      <sz val="10"/>
      <color rgb="FFFF0000"/>
      <name val="Tahoma"/>
      <family val="2"/>
    </font>
    <font>
      <b/>
      <sz val="11"/>
      <color rgb="FFFF0000"/>
      <name val="Tahoma"/>
      <family val="2"/>
    </font>
    <font>
      <sz val="10"/>
      <color theme="0"/>
      <name val="Arial"/>
      <family val="2"/>
    </font>
    <font>
      <b/>
      <sz val="10"/>
      <color theme="0"/>
      <name val="Tahoma"/>
      <family val="2"/>
    </font>
    <font>
      <b/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auto="1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rgb="FFFF3300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/>
      <right style="medium">
        <color auto="1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33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FF3300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0000"/>
      </bottom>
      <diagonal/>
    </border>
    <border>
      <left/>
      <right/>
      <top/>
      <bottom style="thin">
        <color rgb="FFFF33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medium">
        <color auto="1"/>
      </left>
      <right style="thin">
        <color rgb="FFFF3300"/>
      </right>
      <top style="thin">
        <color rgb="FFFF33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3300"/>
      </top>
      <bottom style="thin">
        <color rgb="FFFF3300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rgb="FFFF3300"/>
      </right>
      <top style="thin">
        <color rgb="FFFF0000"/>
      </top>
      <bottom style="thin">
        <color rgb="FFFF3300"/>
      </bottom>
      <diagonal/>
    </border>
    <border>
      <left style="thin">
        <color rgb="FFFF3300"/>
      </left>
      <right style="medium">
        <color auto="1"/>
      </right>
      <top style="thin">
        <color rgb="FFFF0000"/>
      </top>
      <bottom style="thin">
        <color rgb="FFFF3300"/>
      </bottom>
      <diagonal/>
    </border>
    <border>
      <left style="medium">
        <color auto="1"/>
      </left>
      <right/>
      <top/>
      <bottom style="thin">
        <color rgb="FFFF3300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/>
      <bottom style="medium">
        <color indexed="23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38" fillId="0" borderId="0" applyNumberFormat="0" applyFill="0" applyBorder="0" applyAlignment="0" applyProtection="0"/>
  </cellStyleXfs>
  <cellXfs count="88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2" borderId="0" xfId="0" applyFill="1"/>
    <xf numFmtId="2" fontId="2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indent="1"/>
    </xf>
    <xf numFmtId="178" fontId="2" fillId="2" borderId="0" xfId="0" applyNumberFormat="1" applyFont="1" applyFill="1" applyBorder="1" applyAlignment="1">
      <alignment horizontal="left" vertical="center" indent="1"/>
    </xf>
    <xf numFmtId="0" fontId="11" fillId="2" borderId="0" xfId="0" applyFont="1" applyFill="1" applyAlignment="1">
      <alignment horizontal="center" vertical="center"/>
    </xf>
    <xf numFmtId="0" fontId="13" fillId="2" borderId="0" xfId="0" applyFont="1" applyFill="1"/>
    <xf numFmtId="0" fontId="12" fillId="2" borderId="0" xfId="0" applyFont="1" applyFill="1" applyBorder="1"/>
    <xf numFmtId="17" fontId="14" fillId="2" borderId="0" xfId="0" applyNumberFormat="1" applyFont="1" applyFill="1" applyBorder="1" applyAlignment="1">
      <alignment horizontal="center" vertical="center"/>
    </xf>
    <xf numFmtId="0" fontId="12" fillId="2" borderId="3" xfId="0" applyFont="1" applyFill="1" applyBorder="1"/>
    <xf numFmtId="17" fontId="14" fillId="2" borderId="4" xfId="0" applyNumberFormat="1" applyFont="1" applyFill="1" applyBorder="1" applyAlignment="1">
      <alignment horizontal="center" vertical="center"/>
    </xf>
    <xf numFmtId="17" fontId="14" fillId="2" borderId="5" xfId="0" applyNumberFormat="1" applyFont="1" applyFill="1" applyBorder="1" applyAlignment="1">
      <alignment horizontal="center" vertical="center"/>
    </xf>
    <xf numFmtId="0" fontId="12" fillId="2" borderId="6" xfId="0" applyFont="1" applyFill="1" applyBorder="1"/>
    <xf numFmtId="17" fontId="14" fillId="2" borderId="7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16" fillId="2" borderId="0" xfId="0" applyFont="1" applyFill="1"/>
    <xf numFmtId="0" fontId="15" fillId="2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top" indent="1"/>
    </xf>
    <xf numFmtId="0" fontId="3" fillId="0" borderId="0" xfId="0" applyFont="1" applyFill="1" applyAlignment="1">
      <alignment horizontal="left" vertical="top" indent="1"/>
    </xf>
    <xf numFmtId="0" fontId="19" fillId="0" borderId="0" xfId="0" applyFont="1" applyFill="1"/>
    <xf numFmtId="0" fontId="2" fillId="0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 indent="1"/>
    </xf>
    <xf numFmtId="173" fontId="7" fillId="3" borderId="12" xfId="0" applyNumberFormat="1" applyFont="1" applyFill="1" applyBorder="1" applyAlignment="1">
      <alignment horizontal="center" vertical="center"/>
    </xf>
    <xf numFmtId="169" fontId="7" fillId="3" borderId="12" xfId="0" applyNumberFormat="1" applyFont="1" applyFill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left" vertical="top" indent="1"/>
    </xf>
    <xf numFmtId="167" fontId="6" fillId="3" borderId="12" xfId="0" applyNumberFormat="1" applyFont="1" applyFill="1" applyBorder="1" applyAlignment="1">
      <alignment horizontal="left" vertical="top" indent="1"/>
    </xf>
    <xf numFmtId="168" fontId="7" fillId="3" borderId="13" xfId="0" applyNumberFormat="1" applyFont="1" applyFill="1" applyBorder="1" applyAlignment="1">
      <alignment horizontal="left" vertical="top" indent="1"/>
    </xf>
    <xf numFmtId="170" fontId="7" fillId="3" borderId="12" xfId="0" applyNumberFormat="1" applyFont="1" applyFill="1" applyBorder="1" applyAlignment="1">
      <alignment horizontal="center" vertical="center"/>
    </xf>
    <xf numFmtId="174" fontId="7" fillId="3" borderId="13" xfId="0" applyNumberFormat="1" applyFont="1" applyFill="1" applyBorder="1" applyAlignment="1">
      <alignment horizontal="left" vertical="top" indent="1"/>
    </xf>
    <xf numFmtId="0" fontId="7" fillId="4" borderId="11" xfId="0" applyFont="1" applyFill="1" applyBorder="1" applyAlignment="1">
      <alignment horizontal="left" vertical="top" indent="1"/>
    </xf>
    <xf numFmtId="0" fontId="7" fillId="4" borderId="12" xfId="0" applyFont="1" applyFill="1" applyBorder="1" applyAlignment="1">
      <alignment horizontal="left" vertical="top" indent="1"/>
    </xf>
    <xf numFmtId="165" fontId="6" fillId="4" borderId="12" xfId="0" applyNumberFormat="1" applyFont="1" applyFill="1" applyBorder="1" applyAlignment="1">
      <alignment horizontal="left" vertical="top" indent="1"/>
    </xf>
    <xf numFmtId="166" fontId="6" fillId="4" borderId="12" xfId="0" applyNumberFormat="1" applyFont="1" applyFill="1" applyBorder="1" applyAlignment="1">
      <alignment horizontal="left" vertical="top" indent="1"/>
    </xf>
    <xf numFmtId="167" fontId="6" fillId="4" borderId="12" xfId="0" applyNumberFormat="1" applyFont="1" applyFill="1" applyBorder="1" applyAlignment="1">
      <alignment horizontal="left" vertical="top" indent="1"/>
    </xf>
    <xf numFmtId="169" fontId="7" fillId="4" borderId="13" xfId="0" applyNumberFormat="1" applyFont="1" applyFill="1" applyBorder="1" applyAlignment="1">
      <alignment horizontal="left" vertical="top" indent="1"/>
    </xf>
    <xf numFmtId="173" fontId="7" fillId="4" borderId="12" xfId="0" applyNumberFormat="1" applyFont="1" applyFill="1" applyBorder="1" applyAlignment="1">
      <alignment horizontal="center" vertical="center"/>
    </xf>
    <xf numFmtId="169" fontId="7" fillId="4" borderId="12" xfId="0" applyNumberFormat="1" applyFont="1" applyFill="1" applyBorder="1" applyAlignment="1">
      <alignment horizontal="center" vertical="center"/>
    </xf>
    <xf numFmtId="168" fontId="7" fillId="4" borderId="13" xfId="0" applyNumberFormat="1" applyFont="1" applyFill="1" applyBorder="1" applyAlignment="1">
      <alignment horizontal="left" vertical="top" indent="1"/>
    </xf>
    <xf numFmtId="170" fontId="7" fillId="4" borderId="12" xfId="0" applyNumberFormat="1" applyFont="1" applyFill="1" applyBorder="1" applyAlignment="1">
      <alignment horizontal="center" vertical="center"/>
    </xf>
    <xf numFmtId="171" fontId="7" fillId="4" borderId="13" xfId="0" applyNumberFormat="1" applyFont="1" applyFill="1" applyBorder="1" applyAlignment="1">
      <alignment horizontal="left" vertical="top" indent="1"/>
    </xf>
    <xf numFmtId="174" fontId="7" fillId="4" borderId="13" xfId="0" applyNumberFormat="1" applyFont="1" applyFill="1" applyBorder="1" applyAlignment="1">
      <alignment horizontal="left" vertical="top" indent="1"/>
    </xf>
    <xf numFmtId="0" fontId="7" fillId="3" borderId="12" xfId="0" applyFont="1" applyFill="1" applyBorder="1" applyAlignment="1">
      <alignment horizontal="left" vertical="top"/>
    </xf>
    <xf numFmtId="165" fontId="6" fillId="3" borderId="12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center" vertical="center"/>
    </xf>
    <xf numFmtId="176" fontId="7" fillId="4" borderId="13" xfId="0" applyNumberFormat="1" applyFont="1" applyFill="1" applyBorder="1" applyAlignment="1">
      <alignment horizontal="left" vertical="top" indent="1"/>
    </xf>
    <xf numFmtId="172" fontId="7" fillId="4" borderId="13" xfId="0" applyNumberFormat="1" applyFont="1" applyFill="1" applyBorder="1" applyAlignment="1">
      <alignment horizontal="left" vertical="top" indent="1"/>
    </xf>
    <xf numFmtId="0" fontId="2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vertical="top"/>
    </xf>
    <xf numFmtId="176" fontId="7" fillId="3" borderId="13" xfId="0" applyNumberFormat="1" applyFont="1" applyFill="1" applyBorder="1" applyAlignment="1">
      <alignment horizontal="left" vertical="top" indent="1"/>
    </xf>
    <xf numFmtId="0" fontId="2" fillId="4" borderId="12" xfId="0" applyFont="1" applyFill="1" applyBorder="1" applyAlignment="1">
      <alignment horizontal="left" vertical="center"/>
    </xf>
    <xf numFmtId="175" fontId="7" fillId="4" borderId="13" xfId="0" applyNumberFormat="1" applyFont="1" applyFill="1" applyBorder="1" applyAlignment="1">
      <alignment horizontal="left" vertical="top" indent="1"/>
    </xf>
    <xf numFmtId="0" fontId="7" fillId="4" borderId="14" xfId="0" applyFont="1" applyFill="1" applyBorder="1" applyAlignment="1">
      <alignment horizontal="left" vertical="top" indent="1"/>
    </xf>
    <xf numFmtId="0" fontId="7" fillId="4" borderId="15" xfId="0" applyFont="1" applyFill="1" applyBorder="1" applyAlignment="1">
      <alignment horizontal="left" vertical="top" indent="1"/>
    </xf>
    <xf numFmtId="165" fontId="6" fillId="4" borderId="15" xfId="0" applyNumberFormat="1" applyFont="1" applyFill="1" applyBorder="1" applyAlignment="1">
      <alignment horizontal="left" vertical="top" indent="1"/>
    </xf>
    <xf numFmtId="166" fontId="6" fillId="4" borderId="15" xfId="0" applyNumberFormat="1" applyFont="1" applyFill="1" applyBorder="1" applyAlignment="1">
      <alignment horizontal="left" vertical="top" indent="1"/>
    </xf>
    <xf numFmtId="167" fontId="6" fillId="4" borderId="15" xfId="0" applyNumberFormat="1" applyFont="1" applyFill="1" applyBorder="1" applyAlignment="1">
      <alignment horizontal="left" vertical="top" indent="1"/>
    </xf>
    <xf numFmtId="175" fontId="7" fillId="4" borderId="16" xfId="0" applyNumberFormat="1" applyFont="1" applyFill="1" applyBorder="1" applyAlignment="1">
      <alignment horizontal="left" vertical="top" indent="1"/>
    </xf>
    <xf numFmtId="0" fontId="16" fillId="2" borderId="0" xfId="0" applyFont="1" applyFill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68" fontId="7" fillId="4" borderId="16" xfId="0" applyNumberFormat="1" applyFont="1" applyFill="1" applyBorder="1" applyAlignment="1">
      <alignment horizontal="left" vertical="top" indent="1"/>
    </xf>
    <xf numFmtId="169" fontId="7" fillId="3" borderId="13" xfId="0" applyNumberFormat="1" applyFont="1" applyFill="1" applyBorder="1" applyAlignment="1">
      <alignment horizontal="left" vertical="top" indent="1"/>
    </xf>
    <xf numFmtId="0" fontId="9" fillId="0" borderId="0" xfId="0" applyFont="1" applyFill="1" applyAlignment="1">
      <alignment horizontal="left" vertical="top" indent="1"/>
    </xf>
    <xf numFmtId="0" fontId="17" fillId="0" borderId="0" xfId="0" applyFont="1" applyFill="1" applyAlignment="1">
      <alignment vertical="center"/>
    </xf>
    <xf numFmtId="0" fontId="16" fillId="3" borderId="2" xfId="0" applyFont="1" applyFill="1" applyBorder="1"/>
    <xf numFmtId="0" fontId="16" fillId="3" borderId="17" xfId="0" applyFont="1" applyFill="1" applyBorder="1"/>
    <xf numFmtId="0" fontId="21" fillId="3" borderId="18" xfId="0" applyFont="1" applyFill="1" applyBorder="1" applyAlignment="1">
      <alignment horizontal="left" vertical="center" indent="1"/>
    </xf>
    <xf numFmtId="0" fontId="21" fillId="3" borderId="19" xfId="0" applyFont="1" applyFill="1" applyBorder="1" applyAlignment="1">
      <alignment horizontal="left" vertical="center" indent="1"/>
    </xf>
    <xf numFmtId="0" fontId="16" fillId="2" borderId="21" xfId="0" applyFont="1" applyFill="1" applyBorder="1" applyAlignment="1">
      <alignment horizontal="right" vertical="center" indent="1"/>
    </xf>
    <xf numFmtId="0" fontId="22" fillId="2" borderId="21" xfId="0" applyFont="1" applyFill="1" applyBorder="1" applyAlignment="1">
      <alignment horizontal="left" vertical="top" indent="1"/>
    </xf>
    <xf numFmtId="0" fontId="22" fillId="2" borderId="21" xfId="0" applyFont="1" applyFill="1" applyBorder="1" applyAlignment="1">
      <alignment horizontal="left" vertical="center" indent="1"/>
    </xf>
    <xf numFmtId="0" fontId="16" fillId="2" borderId="12" xfId="0" applyFont="1" applyFill="1" applyBorder="1" applyAlignment="1">
      <alignment horizontal="right" vertical="center" indent="1"/>
    </xf>
    <xf numFmtId="0" fontId="22" fillId="2" borderId="12" xfId="0" applyFont="1" applyFill="1" applyBorder="1" applyAlignment="1">
      <alignment horizontal="left" vertical="top" indent="1"/>
    </xf>
    <xf numFmtId="0" fontId="22" fillId="2" borderId="12" xfId="0" applyFont="1" applyFill="1" applyBorder="1" applyAlignment="1">
      <alignment horizontal="left" vertical="center" indent="1"/>
    </xf>
    <xf numFmtId="0" fontId="16" fillId="2" borderId="22" xfId="0" applyFont="1" applyFill="1" applyBorder="1" applyAlignment="1">
      <alignment horizontal="right" vertical="center" indent="1"/>
    </xf>
    <xf numFmtId="0" fontId="22" fillId="2" borderId="22" xfId="0" applyFont="1" applyFill="1" applyBorder="1" applyAlignment="1">
      <alignment horizontal="left" vertical="top" indent="1"/>
    </xf>
    <xf numFmtId="0" fontId="22" fillId="2" borderId="22" xfId="0" applyFont="1" applyFill="1" applyBorder="1" applyAlignment="1">
      <alignment horizontal="left" vertical="center" indent="1"/>
    </xf>
    <xf numFmtId="0" fontId="21" fillId="3" borderId="23" xfId="0" applyFont="1" applyFill="1" applyBorder="1" applyAlignment="1">
      <alignment horizontal="left" vertical="center" indent="1"/>
    </xf>
    <xf numFmtId="0" fontId="21" fillId="3" borderId="24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vertical="top"/>
    </xf>
    <xf numFmtId="0" fontId="20" fillId="0" borderId="0" xfId="0" applyFont="1" applyFill="1" applyAlignment="1">
      <alignment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/>
    </xf>
    <xf numFmtId="0" fontId="25" fillId="2" borderId="27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4" fontId="25" fillId="2" borderId="28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3" fillId="2" borderId="27" xfId="0" applyFont="1" applyFill="1" applyBorder="1" applyAlignment="1">
      <alignment horizontal="center" vertical="top"/>
    </xf>
    <xf numFmtId="0" fontId="23" fillId="2" borderId="28" xfId="0" applyFont="1" applyFill="1" applyBorder="1" applyAlignment="1">
      <alignment horizontal="center" vertical="top"/>
    </xf>
    <xf numFmtId="0" fontId="23" fillId="2" borderId="29" xfId="0" applyFont="1" applyFill="1" applyBorder="1" applyAlignment="1">
      <alignment horizontal="center" vertical="top"/>
    </xf>
    <xf numFmtId="0" fontId="21" fillId="2" borderId="23" xfId="0" applyFont="1" applyFill="1" applyBorder="1" applyAlignment="1">
      <alignment horizontal="right" vertical="center" indent="4"/>
    </xf>
    <xf numFmtId="10" fontId="19" fillId="2" borderId="23" xfId="0" applyNumberFormat="1" applyFont="1" applyFill="1" applyBorder="1" applyAlignment="1">
      <alignment horizontal="left" vertical="center" indent="1"/>
    </xf>
    <xf numFmtId="178" fontId="19" fillId="2" borderId="23" xfId="0" applyNumberFormat="1" applyFont="1" applyFill="1" applyBorder="1" applyAlignment="1">
      <alignment horizontal="left" vertical="center" indent="1"/>
    </xf>
    <xf numFmtId="10" fontId="19" fillId="3" borderId="23" xfId="0" applyNumberFormat="1" applyFont="1" applyFill="1" applyBorder="1" applyAlignment="1">
      <alignment horizontal="left" vertical="center" indent="1"/>
    </xf>
    <xf numFmtId="0" fontId="21" fillId="3" borderId="30" xfId="0" applyFont="1" applyFill="1" applyBorder="1" applyAlignment="1">
      <alignment horizontal="left" vertical="center" indent="1"/>
    </xf>
    <xf numFmtId="0" fontId="16" fillId="2" borderId="2" xfId="0" applyFont="1" applyFill="1" applyBorder="1" applyAlignment="1">
      <alignment horizontal="center" vertical="center"/>
    </xf>
    <xf numFmtId="177" fontId="16" fillId="3" borderId="21" xfId="0" applyNumberFormat="1" applyFont="1" applyFill="1" applyBorder="1" applyAlignment="1">
      <alignment horizontal="center" vertical="center"/>
    </xf>
    <xf numFmtId="178" fontId="21" fillId="3" borderId="22" xfId="0" applyNumberFormat="1" applyFont="1" applyFill="1" applyBorder="1" applyAlignment="1">
      <alignment horizontal="center" vertical="center"/>
    </xf>
    <xf numFmtId="178" fontId="21" fillId="2" borderId="0" xfId="0" applyNumberFormat="1" applyFont="1" applyFill="1" applyBorder="1" applyAlignment="1">
      <alignment horizontal="center" vertical="center"/>
    </xf>
    <xf numFmtId="17" fontId="14" fillId="2" borderId="0" xfId="0" applyNumberFormat="1" applyFont="1" applyFill="1" applyBorder="1" applyAlignment="1">
      <alignment horizontal="left" vertical="center"/>
    </xf>
    <xf numFmtId="178" fontId="2" fillId="2" borderId="0" xfId="0" applyNumberFormat="1" applyFont="1" applyFill="1" applyAlignment="1">
      <alignment horizontal="center" vertical="center"/>
    </xf>
    <xf numFmtId="0" fontId="21" fillId="6" borderId="30" xfId="0" applyFont="1" applyFill="1" applyBorder="1" applyAlignment="1">
      <alignment horizontal="left" vertical="center" indent="1"/>
    </xf>
    <xf numFmtId="10" fontId="2" fillId="2" borderId="0" xfId="0" applyNumberFormat="1" applyFont="1" applyFill="1" applyAlignment="1">
      <alignment horizontal="center" vertical="center"/>
    </xf>
    <xf numFmtId="10" fontId="29" fillId="2" borderId="0" xfId="0" applyNumberFormat="1" applyFont="1" applyFill="1" applyBorder="1"/>
    <xf numFmtId="17" fontId="30" fillId="2" borderId="0" xfId="0" applyNumberFormat="1" applyFont="1" applyFill="1" applyBorder="1" applyAlignment="1">
      <alignment horizontal="center" vertical="center"/>
    </xf>
    <xf numFmtId="17" fontId="30" fillId="2" borderId="4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>
      <alignment horizontal="left" vertical="center"/>
    </xf>
    <xf numFmtId="0" fontId="30" fillId="2" borderId="0" xfId="0" applyFont="1" applyFill="1" applyBorder="1" applyAlignment="1">
      <alignment horizontal="left" vertical="center"/>
    </xf>
    <xf numFmtId="0" fontId="29" fillId="2" borderId="0" xfId="0" applyFont="1" applyFill="1" applyBorder="1"/>
    <xf numFmtId="0" fontId="29" fillId="2" borderId="0" xfId="0" applyFont="1" applyFill="1"/>
    <xf numFmtId="0" fontId="32" fillId="2" borderId="0" xfId="0" applyFont="1" applyFill="1"/>
    <xf numFmtId="10" fontId="32" fillId="2" borderId="0" xfId="0" applyNumberFormat="1" applyFont="1" applyFill="1" applyBorder="1"/>
    <xf numFmtId="0" fontId="32" fillId="2" borderId="0" xfId="0" applyFont="1" applyFill="1" applyBorder="1"/>
    <xf numFmtId="17" fontId="33" fillId="2" borderId="0" xfId="0" applyNumberFormat="1" applyFont="1" applyFill="1" applyBorder="1" applyAlignment="1">
      <alignment horizontal="center" vertical="center"/>
    </xf>
    <xf numFmtId="177" fontId="16" fillId="7" borderId="21" xfId="0" applyNumberFormat="1" applyFont="1" applyFill="1" applyBorder="1" applyAlignment="1">
      <alignment horizontal="left" vertical="center" indent="1"/>
    </xf>
    <xf numFmtId="178" fontId="16" fillId="7" borderId="22" xfId="0" applyNumberFormat="1" applyFont="1" applyFill="1" applyBorder="1" applyAlignment="1">
      <alignment horizontal="left" vertical="center" indent="1"/>
    </xf>
    <xf numFmtId="10" fontId="16" fillId="7" borderId="21" xfId="0" applyNumberFormat="1" applyFont="1" applyFill="1" applyBorder="1" applyAlignment="1">
      <alignment horizontal="left" vertical="center" indent="1"/>
    </xf>
    <xf numFmtId="17" fontId="32" fillId="2" borderId="0" xfId="0" applyNumberFormat="1" applyFont="1" applyFill="1"/>
    <xf numFmtId="178" fontId="32" fillId="2" borderId="0" xfId="1" applyNumberFormat="1" applyFont="1" applyFill="1" applyBorder="1"/>
    <xf numFmtId="0" fontId="21" fillId="3" borderId="31" xfId="0" applyFont="1" applyFill="1" applyBorder="1" applyAlignment="1">
      <alignment horizontal="left" vertical="center" indent="1"/>
    </xf>
    <xf numFmtId="0" fontId="28" fillId="0" borderId="0" xfId="0" applyFont="1" applyFill="1" applyAlignment="1">
      <alignment horizontal="center" vertical="center"/>
    </xf>
    <xf numFmtId="178" fontId="16" fillId="0" borderId="22" xfId="0" applyNumberFormat="1" applyFont="1" applyFill="1" applyBorder="1" applyAlignment="1">
      <alignment horizontal="left" vertical="center" indent="1"/>
    </xf>
    <xf numFmtId="177" fontId="16" fillId="0" borderId="21" xfId="0" applyNumberFormat="1" applyFont="1" applyFill="1" applyBorder="1" applyAlignment="1">
      <alignment horizontal="left" vertical="center" indent="1"/>
    </xf>
    <xf numFmtId="177" fontId="26" fillId="0" borderId="21" xfId="0" applyNumberFormat="1" applyFont="1" applyFill="1" applyBorder="1" applyAlignment="1">
      <alignment horizontal="left" vertical="center" indent="1"/>
    </xf>
    <xf numFmtId="0" fontId="16" fillId="2" borderId="2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8" fillId="0" borderId="0" xfId="0" applyFont="1" applyFill="1" applyAlignment="1" applyProtection="1">
      <alignment horizontal="center" vertical="center"/>
      <protection hidden="1"/>
    </xf>
    <xf numFmtId="0" fontId="16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23" xfId="0" applyBorder="1"/>
    <xf numFmtId="14" fontId="0" fillId="0" borderId="0" xfId="0" applyNumberFormat="1"/>
    <xf numFmtId="0" fontId="16" fillId="0" borderId="0" xfId="0" applyFont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6" fillId="10" borderId="3" xfId="0" applyFont="1" applyFill="1" applyBorder="1"/>
    <xf numFmtId="14" fontId="0" fillId="10" borderId="6" xfId="0" applyNumberFormat="1" applyFill="1" applyBorder="1"/>
    <xf numFmtId="14" fontId="0" fillId="8" borderId="0" xfId="0" applyNumberFormat="1" applyFill="1" applyBorder="1"/>
    <xf numFmtId="14" fontId="0" fillId="8" borderId="9" xfId="0" applyNumberFormat="1" applyFill="1" applyBorder="1"/>
    <xf numFmtId="14" fontId="0" fillId="11" borderId="0" xfId="0" applyNumberFormat="1" applyFill="1" applyBorder="1"/>
    <xf numFmtId="14" fontId="0" fillId="11" borderId="9" xfId="0" applyNumberFormat="1" applyFill="1" applyBorder="1"/>
    <xf numFmtId="0" fontId="0" fillId="0" borderId="42" xfId="0" applyBorder="1"/>
    <xf numFmtId="0" fontId="16" fillId="0" borderId="42" xfId="0" applyFont="1" applyBorder="1"/>
    <xf numFmtId="178" fontId="0" fillId="0" borderId="42" xfId="0" applyNumberFormat="1" applyBorder="1"/>
    <xf numFmtId="14" fontId="16" fillId="0" borderId="42" xfId="0" applyNumberFormat="1" applyFont="1" applyBorder="1"/>
    <xf numFmtId="0" fontId="16" fillId="0" borderId="48" xfId="0" applyFont="1" applyBorder="1"/>
    <xf numFmtId="0" fontId="1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horizontal="left" vertical="top" indent="1"/>
    </xf>
    <xf numFmtId="0" fontId="0" fillId="0" borderId="0" xfId="0" applyNumberFormat="1" applyFill="1"/>
    <xf numFmtId="0" fontId="25" fillId="2" borderId="28" xfId="0" applyNumberFormat="1" applyFont="1" applyFill="1" applyBorder="1" applyAlignment="1">
      <alignment horizontal="center" vertical="center"/>
    </xf>
    <xf numFmtId="0" fontId="16" fillId="3" borderId="2" xfId="0" applyNumberFormat="1" applyFont="1" applyFill="1" applyBorder="1" applyAlignment="1">
      <alignment horizontal="center" vertical="center"/>
    </xf>
    <xf numFmtId="0" fontId="16" fillId="2" borderId="21" xfId="0" applyNumberFormat="1" applyFont="1" applyFill="1" applyBorder="1" applyAlignment="1">
      <alignment horizontal="center" vertical="center"/>
    </xf>
    <xf numFmtId="0" fontId="16" fillId="2" borderId="12" xfId="0" applyNumberFormat="1" applyFont="1" applyFill="1" applyBorder="1" applyAlignment="1">
      <alignment horizontal="center" vertical="center"/>
    </xf>
    <xf numFmtId="0" fontId="16" fillId="2" borderId="22" xfId="0" applyNumberFormat="1" applyFont="1" applyFill="1" applyBorder="1" applyAlignment="1">
      <alignment horizontal="center" vertical="center"/>
    </xf>
    <xf numFmtId="0" fontId="16" fillId="3" borderId="17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178" fontId="0" fillId="0" borderId="0" xfId="0" applyNumberFormat="1" applyFill="1" applyAlignment="1">
      <alignment horizontal="right"/>
    </xf>
    <xf numFmtId="178" fontId="18" fillId="3" borderId="26" xfId="0" applyNumberFormat="1" applyFont="1" applyFill="1" applyBorder="1" applyAlignment="1">
      <alignment horizontal="right"/>
    </xf>
    <xf numFmtId="178" fontId="25" fillId="2" borderId="28" xfId="0" applyNumberFormat="1" applyFont="1" applyFill="1" applyBorder="1" applyAlignment="1">
      <alignment horizontal="right" vertical="center"/>
    </xf>
    <xf numFmtId="178" fontId="25" fillId="2" borderId="29" xfId="0" applyNumberFormat="1" applyFont="1" applyFill="1" applyBorder="1" applyAlignment="1">
      <alignment horizontal="right" vertical="center"/>
    </xf>
    <xf numFmtId="178" fontId="16" fillId="3" borderId="2" xfId="0" applyNumberFormat="1" applyFont="1" applyFill="1" applyBorder="1" applyAlignment="1">
      <alignment horizontal="right"/>
    </xf>
    <xf numFmtId="178" fontId="16" fillId="2" borderId="12" xfId="0" applyNumberFormat="1" applyFont="1" applyFill="1" applyBorder="1" applyAlignment="1">
      <alignment horizontal="right" vertical="center"/>
    </xf>
    <xf numFmtId="178" fontId="16" fillId="3" borderId="17" xfId="0" applyNumberFormat="1" applyFont="1" applyFill="1" applyBorder="1" applyAlignment="1">
      <alignment horizontal="right"/>
    </xf>
    <xf numFmtId="178" fontId="21" fillId="3" borderId="25" xfId="0" applyNumberFormat="1" applyFont="1" applyFill="1" applyBorder="1" applyAlignment="1">
      <alignment horizontal="right" vertical="center"/>
    </xf>
    <xf numFmtId="178" fontId="0" fillId="2" borderId="0" xfId="0" applyNumberFormat="1" applyFill="1" applyAlignment="1">
      <alignment horizontal="right"/>
    </xf>
    <xf numFmtId="178" fontId="10" fillId="2" borderId="0" xfId="0" applyNumberFormat="1" applyFont="1" applyFill="1" applyAlignment="1">
      <alignment horizontal="right" vertical="center"/>
    </xf>
    <xf numFmtId="0" fontId="0" fillId="0" borderId="53" xfId="0" applyBorder="1"/>
    <xf numFmtId="14" fontId="0" fillId="8" borderId="0" xfId="0" applyNumberFormat="1" applyFill="1" applyBorder="1" applyProtection="1">
      <protection hidden="1"/>
    </xf>
    <xf numFmtId="14" fontId="0" fillId="8" borderId="9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16" fillId="0" borderId="7" xfId="0" applyFont="1" applyBorder="1" applyProtection="1">
      <protection hidden="1"/>
    </xf>
    <xf numFmtId="0" fontId="0" fillId="0" borderId="9" xfId="0" applyBorder="1" applyProtection="1">
      <protection hidden="1"/>
    </xf>
    <xf numFmtId="0" fontId="16" fillId="0" borderId="10" xfId="0" applyFont="1" applyBorder="1" applyProtection="1">
      <protection hidden="1"/>
    </xf>
    <xf numFmtId="0" fontId="0" fillId="0" borderId="4" xfId="0" applyBorder="1" applyProtection="1">
      <protection hidden="1"/>
    </xf>
    <xf numFmtId="0" fontId="0" fillId="0" borderId="5" xfId="0" applyBorder="1" applyProtection="1">
      <protection hidden="1"/>
    </xf>
    <xf numFmtId="179" fontId="0" fillId="10" borderId="34" xfId="0" applyNumberFormat="1" applyFill="1" applyBorder="1" applyProtection="1">
      <protection hidden="1"/>
    </xf>
    <xf numFmtId="179" fontId="0" fillId="9" borderId="30" xfId="0" applyNumberFormat="1" applyFill="1" applyBorder="1" applyProtection="1">
      <protection hidden="1"/>
    </xf>
    <xf numFmtId="179" fontId="0" fillId="10" borderId="30" xfId="0" applyNumberFormat="1" applyFill="1" applyBorder="1" applyProtection="1">
      <protection hidden="1"/>
    </xf>
    <xf numFmtId="179" fontId="0" fillId="10" borderId="39" xfId="0" applyNumberFormat="1" applyFill="1" applyBorder="1" applyProtection="1">
      <protection hidden="1"/>
    </xf>
    <xf numFmtId="179" fontId="0" fillId="9" borderId="38" xfId="0" applyNumberFormat="1" applyFill="1" applyBorder="1" applyProtection="1">
      <protection hidden="1"/>
    </xf>
    <xf numFmtId="179" fontId="0" fillId="9" borderId="39" xfId="0" applyNumberFormat="1" applyFill="1" applyBorder="1" applyProtection="1">
      <protection hidden="1"/>
    </xf>
    <xf numFmtId="179" fontId="0" fillId="10" borderId="38" xfId="0" applyNumberFormat="1" applyFill="1" applyBorder="1" applyProtection="1">
      <protection hidden="1"/>
    </xf>
    <xf numFmtId="0" fontId="0" fillId="10" borderId="40" xfId="0" applyFill="1" applyBorder="1" applyAlignment="1" applyProtection="1">
      <alignment horizontal="center"/>
      <protection hidden="1"/>
    </xf>
    <xf numFmtId="0" fontId="0" fillId="9" borderId="36" xfId="0" applyFill="1" applyBorder="1" applyAlignment="1" applyProtection="1">
      <alignment horizontal="center"/>
      <protection hidden="1"/>
    </xf>
    <xf numFmtId="0" fontId="0" fillId="10" borderId="36" xfId="0" applyFill="1" applyBorder="1" applyAlignment="1" applyProtection="1">
      <alignment horizontal="center"/>
      <protection hidden="1"/>
    </xf>
    <xf numFmtId="0" fontId="0" fillId="10" borderId="37" xfId="0" applyFill="1" applyBorder="1" applyAlignment="1" applyProtection="1">
      <alignment horizontal="center"/>
      <protection hidden="1"/>
    </xf>
    <xf numFmtId="0" fontId="0" fillId="9" borderId="35" xfId="0" applyFill="1" applyBorder="1" applyAlignment="1" applyProtection="1">
      <alignment horizontal="center"/>
      <protection hidden="1"/>
    </xf>
    <xf numFmtId="0" fontId="0" fillId="9" borderId="37" xfId="0" applyFill="1" applyBorder="1" applyAlignment="1" applyProtection="1">
      <alignment horizontal="center"/>
      <protection hidden="1"/>
    </xf>
    <xf numFmtId="0" fontId="0" fillId="10" borderId="35" xfId="0" applyFill="1" applyBorder="1" applyAlignment="1" applyProtection="1">
      <alignment horizontal="center"/>
      <protection hidden="1"/>
    </xf>
    <xf numFmtId="0" fontId="0" fillId="0" borderId="31" xfId="0" applyFont="1" applyFill="1" applyBorder="1"/>
    <xf numFmtId="179" fontId="14" fillId="5" borderId="23" xfId="0" applyNumberFormat="1" applyFont="1" applyFill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35" fillId="2" borderId="0" xfId="0" applyFont="1" applyFill="1" applyBorder="1" applyAlignment="1">
      <alignment vertical="center"/>
    </xf>
    <xf numFmtId="0" fontId="4" fillId="13" borderId="42" xfId="0" applyFont="1" applyFill="1" applyBorder="1" applyAlignment="1">
      <alignment horizontal="left" vertical="center"/>
    </xf>
    <xf numFmtId="0" fontId="36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39" fillId="2" borderId="0" xfId="5" applyFont="1" applyFill="1" applyBorder="1" applyAlignment="1">
      <alignment vertical="center"/>
    </xf>
    <xf numFmtId="0" fontId="21" fillId="7" borderId="17" xfId="0" applyFont="1" applyFill="1" applyBorder="1" applyAlignment="1"/>
    <xf numFmtId="0" fontId="1" fillId="7" borderId="17" xfId="0" applyFont="1" applyFill="1" applyBorder="1" applyAlignment="1"/>
    <xf numFmtId="14" fontId="21" fillId="7" borderId="57" xfId="0" applyNumberFormat="1" applyFont="1" applyFill="1" applyBorder="1" applyAlignment="1"/>
    <xf numFmtId="0" fontId="21" fillId="7" borderId="56" xfId="0" applyFont="1" applyFill="1" applyBorder="1" applyAlignment="1">
      <alignment horizontal="left"/>
    </xf>
    <xf numFmtId="0" fontId="21" fillId="7" borderId="56" xfId="0" applyFont="1" applyFill="1" applyBorder="1" applyAlignment="1"/>
    <xf numFmtId="0" fontId="0" fillId="0" borderId="49" xfId="0" applyFill="1" applyBorder="1" applyAlignment="1">
      <alignment horizontal="center"/>
    </xf>
    <xf numFmtId="0" fontId="0" fillId="0" borderId="49" xfId="0" applyFill="1" applyBorder="1" applyAlignment="1">
      <alignment horizontal="center" vertical="center"/>
    </xf>
    <xf numFmtId="0" fontId="0" fillId="2" borderId="56" xfId="0" applyFill="1" applyBorder="1"/>
    <xf numFmtId="0" fontId="0" fillId="2" borderId="25" xfId="0" applyFill="1" applyBorder="1" applyAlignment="1"/>
    <xf numFmtId="0" fontId="0" fillId="14" borderId="57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8" xfId="0" applyFill="1" applyBorder="1" applyAlignment="1">
      <alignment horizontal="center" vertical="center"/>
    </xf>
    <xf numFmtId="0" fontId="0" fillId="2" borderId="52" xfId="0" applyFill="1" applyBorder="1"/>
    <xf numFmtId="0" fontId="0" fillId="0" borderId="25" xfId="0" applyFill="1" applyBorder="1" applyAlignment="1">
      <alignment horizontal="center"/>
    </xf>
    <xf numFmtId="0" fontId="1" fillId="2" borderId="49" xfId="0" applyFont="1" applyFill="1" applyBorder="1" applyAlignment="1">
      <alignment horizontal="left" vertical="center"/>
    </xf>
    <xf numFmtId="0" fontId="0" fillId="2" borderId="25" xfId="0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49" xfId="0" applyFont="1" applyFill="1" applyBorder="1"/>
    <xf numFmtId="0" fontId="1" fillId="0" borderId="25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left"/>
    </xf>
    <xf numFmtId="0" fontId="4" fillId="0" borderId="49" xfId="0" applyFont="1" applyFill="1" applyBorder="1" applyAlignment="1">
      <alignment horizontal="center"/>
    </xf>
    <xf numFmtId="0" fontId="0" fillId="2" borderId="42" xfId="0" applyFill="1" applyBorder="1"/>
    <xf numFmtId="0" fontId="0" fillId="2" borderId="57" xfId="0" applyFill="1" applyBorder="1"/>
    <xf numFmtId="0" fontId="1" fillId="14" borderId="49" xfId="0" applyFont="1" applyFill="1" applyBorder="1" applyAlignment="1">
      <alignment horizontal="center"/>
    </xf>
    <xf numFmtId="0" fontId="0" fillId="0" borderId="42" xfId="0" applyBorder="1" applyAlignment="1">
      <alignment horizontal="left" vertical="center"/>
    </xf>
    <xf numFmtId="0" fontId="1" fillId="2" borderId="49" xfId="0" applyFont="1" applyFill="1" applyBorder="1" applyAlignment="1">
      <alignment horizontal="center" vertical="center" wrapText="1"/>
    </xf>
    <xf numFmtId="0" fontId="21" fillId="2" borderId="52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2" borderId="49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/>
    </xf>
    <xf numFmtId="0" fontId="21" fillId="2" borderId="63" xfId="0" applyFont="1" applyFill="1" applyBorder="1" applyAlignment="1">
      <alignment horizontal="center"/>
    </xf>
    <xf numFmtId="0" fontId="21" fillId="7" borderId="17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1" fillId="7" borderId="49" xfId="0" applyFont="1" applyFill="1" applyBorder="1" applyAlignment="1"/>
    <xf numFmtId="14" fontId="4" fillId="2" borderId="49" xfId="0" applyNumberFormat="1" applyFont="1" applyFill="1" applyBorder="1" applyAlignment="1">
      <alignment horizontal="center" vertical="center"/>
    </xf>
    <xf numFmtId="0" fontId="4" fillId="14" borderId="49" xfId="0" applyNumberFormat="1" applyFont="1" applyFill="1" applyBorder="1" applyAlignment="1">
      <alignment horizontal="center" vertical="center"/>
    </xf>
    <xf numFmtId="0" fontId="4" fillId="14" borderId="4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left"/>
    </xf>
    <xf numFmtId="0" fontId="0" fillId="2" borderId="17" xfId="0" applyFill="1" applyBorder="1"/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7" borderId="52" xfId="0" applyFont="1" applyFill="1" applyBorder="1" applyAlignment="1">
      <alignment vertical="center"/>
    </xf>
    <xf numFmtId="0" fontId="21" fillId="0" borderId="42" xfId="0" applyFont="1" applyFill="1" applyBorder="1" applyAlignment="1"/>
    <xf numFmtId="0" fontId="21" fillId="0" borderId="59" xfId="0" applyFont="1" applyFill="1" applyBorder="1" applyAlignment="1"/>
    <xf numFmtId="0" fontId="1" fillId="0" borderId="42" xfId="0" applyFont="1" applyBorder="1" applyAlignment="1">
      <alignment horizontal="center"/>
    </xf>
    <xf numFmtId="14" fontId="0" fillId="14" borderId="42" xfId="0" applyNumberForma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14" fontId="0" fillId="14" borderId="70" xfId="0" applyNumberFormat="1" applyFill="1" applyBorder="1" applyAlignment="1" applyProtection="1">
      <alignment horizontal="center"/>
      <protection hidden="1"/>
    </xf>
    <xf numFmtId="0" fontId="16" fillId="0" borderId="70" xfId="0" applyFont="1" applyBorder="1" applyAlignment="1">
      <alignment horizontal="center"/>
    </xf>
    <xf numFmtId="0" fontId="16" fillId="0" borderId="70" xfId="0" applyFont="1" applyBorder="1"/>
    <xf numFmtId="178" fontId="0" fillId="0" borderId="70" xfId="0" applyNumberFormat="1" applyBorder="1" applyProtection="1">
      <protection hidden="1"/>
    </xf>
    <xf numFmtId="178" fontId="0" fillId="14" borderId="70" xfId="0" applyNumberFormat="1" applyFill="1" applyBorder="1" applyProtection="1">
      <protection hidden="1"/>
    </xf>
    <xf numFmtId="178" fontId="0" fillId="14" borderId="71" xfId="0" applyNumberFormat="1" applyFill="1" applyBorder="1" applyProtection="1">
      <protection hidden="1"/>
    </xf>
    <xf numFmtId="0" fontId="0" fillId="0" borderId="70" xfId="0" applyBorder="1"/>
    <xf numFmtId="0" fontId="0" fillId="0" borderId="72" xfId="0" applyBorder="1"/>
    <xf numFmtId="178" fontId="0" fillId="0" borderId="72" xfId="0" applyNumberFormat="1" applyBorder="1" applyProtection="1">
      <protection hidden="1"/>
    </xf>
    <xf numFmtId="178" fontId="0" fillId="14" borderId="72" xfId="0" applyNumberFormat="1" applyFill="1" applyBorder="1" applyProtection="1">
      <protection hidden="1"/>
    </xf>
    <xf numFmtId="0" fontId="1" fillId="0" borderId="70" xfId="0" applyFont="1" applyBorder="1" applyAlignment="1">
      <alignment horizontal="center"/>
    </xf>
    <xf numFmtId="178" fontId="0" fillId="14" borderId="63" xfId="0" applyNumberFormat="1" applyFill="1" applyBorder="1" applyProtection="1">
      <protection hidden="1"/>
    </xf>
    <xf numFmtId="0" fontId="1" fillId="0" borderId="71" xfId="0" applyFont="1" applyBorder="1" applyAlignment="1">
      <alignment horizont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2" borderId="2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0" borderId="70" xfId="0" applyFont="1" applyBorder="1"/>
    <xf numFmtId="0" fontId="1" fillId="14" borderId="70" xfId="0" applyNumberFormat="1" applyFont="1" applyFill="1" applyBorder="1" applyAlignment="1" applyProtection="1">
      <alignment horizontal="center"/>
      <protection hidden="1"/>
    </xf>
    <xf numFmtId="14" fontId="0" fillId="0" borderId="0" xfId="0" applyNumberFormat="1" applyBorder="1"/>
    <xf numFmtId="0" fontId="1" fillId="2" borderId="24" xfId="0" applyFont="1" applyFill="1" applyBorder="1" applyAlignment="1">
      <alignment horizontal="left"/>
    </xf>
    <xf numFmtId="0" fontId="0" fillId="2" borderId="52" xfId="0" applyFill="1" applyBorder="1" applyAlignment="1">
      <alignment horizontal="center"/>
    </xf>
    <xf numFmtId="178" fontId="16" fillId="14" borderId="12" xfId="0" applyNumberFormat="1" applyFont="1" applyFill="1" applyBorder="1" applyAlignment="1">
      <alignment horizontal="right" vertical="center"/>
    </xf>
    <xf numFmtId="0" fontId="1" fillId="0" borderId="42" xfId="0" applyFont="1" applyBorder="1"/>
    <xf numFmtId="0" fontId="1" fillId="0" borderId="6" xfId="0" applyFont="1" applyBorder="1"/>
    <xf numFmtId="0" fontId="16" fillId="2" borderId="31" xfId="0" applyFont="1" applyFill="1" applyBorder="1" applyAlignment="1">
      <alignment horizontal="right" vertical="center" indent="1"/>
    </xf>
    <xf numFmtId="0" fontId="22" fillId="2" borderId="46" xfId="0" applyFont="1" applyFill="1" applyBorder="1" applyAlignment="1">
      <alignment horizontal="left" vertical="top" indent="1"/>
    </xf>
    <xf numFmtId="0" fontId="16" fillId="2" borderId="0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left" vertical="center" indent="1"/>
    </xf>
    <xf numFmtId="178" fontId="16" fillId="2" borderId="0" xfId="0" applyNumberFormat="1" applyFont="1" applyFill="1" applyBorder="1" applyAlignment="1">
      <alignment horizontal="right" vertical="center"/>
    </xf>
    <xf numFmtId="178" fontId="16" fillId="14" borderId="47" xfId="0" applyNumberFormat="1" applyFont="1" applyFill="1" applyBorder="1" applyAlignment="1">
      <alignment horizontal="right" vertic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181" fontId="21" fillId="0" borderId="52" xfId="0" applyNumberFormat="1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69" xfId="0" applyFill="1" applyBorder="1" applyAlignment="1">
      <alignment horizontal="center"/>
    </xf>
    <xf numFmtId="0" fontId="1" fillId="0" borderId="0" xfId="0" applyFont="1"/>
    <xf numFmtId="178" fontId="0" fillId="0" borderId="0" xfId="0" applyNumberFormat="1"/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79" xfId="0" applyFill="1" applyBorder="1" applyAlignment="1">
      <alignment horizontal="center"/>
    </xf>
    <xf numFmtId="14" fontId="1" fillId="0" borderId="0" xfId="0" applyNumberFormat="1" applyFont="1"/>
    <xf numFmtId="0" fontId="22" fillId="2" borderId="55" xfId="0" applyFont="1" applyFill="1" applyBorder="1" applyAlignment="1">
      <alignment horizontal="center" wrapText="1"/>
    </xf>
    <xf numFmtId="0" fontId="4" fillId="0" borderId="49" xfId="0" applyNumberFormat="1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left" vertical="top"/>
    </xf>
    <xf numFmtId="0" fontId="21" fillId="15" borderId="4" xfId="0" applyFont="1" applyFill="1" applyBorder="1" applyAlignment="1">
      <alignment horizontal="left"/>
    </xf>
    <xf numFmtId="0" fontId="21" fillId="15" borderId="3" xfId="0" applyFont="1" applyFill="1" applyBorder="1" applyAlignment="1">
      <alignment horizontal="left" vertical="top"/>
    </xf>
    <xf numFmtId="0" fontId="21" fillId="15" borderId="5" xfId="0" applyFont="1" applyFill="1" applyBorder="1" applyAlignment="1">
      <alignment horizontal="center"/>
    </xf>
    <xf numFmtId="0" fontId="0" fillId="15" borderId="62" xfId="0" applyFill="1" applyBorder="1"/>
    <xf numFmtId="0" fontId="0" fillId="15" borderId="2" xfId="0" applyFill="1" applyBorder="1"/>
    <xf numFmtId="0" fontId="0" fillId="15" borderId="60" xfId="0" applyFill="1" applyBorder="1"/>
    <xf numFmtId="0" fontId="1" fillId="2" borderId="52" xfId="0" applyFont="1" applyFill="1" applyBorder="1"/>
    <xf numFmtId="0" fontId="1" fillId="2" borderId="56" xfId="0" applyFont="1" applyFill="1" applyBorder="1" applyAlignment="1">
      <alignment horizontal="center"/>
    </xf>
    <xf numFmtId="0" fontId="0" fillId="0" borderId="82" xfId="0" applyBorder="1"/>
    <xf numFmtId="0" fontId="0" fillId="0" borderId="79" xfId="0" applyBorder="1"/>
    <xf numFmtId="0" fontId="0" fillId="0" borderId="70" xfId="0" applyNumberFormat="1" applyFill="1" applyBorder="1" applyAlignment="1" applyProtection="1">
      <alignment horizontal="center"/>
      <protection hidden="1"/>
    </xf>
    <xf numFmtId="0" fontId="0" fillId="0" borderId="72" xfId="0" applyNumberFormat="1" applyFill="1" applyBorder="1" applyAlignment="1" applyProtection="1">
      <alignment horizontal="center"/>
      <protection hidden="1"/>
    </xf>
    <xf numFmtId="0" fontId="0" fillId="0" borderId="3" xfId="0" applyBorder="1"/>
    <xf numFmtId="0" fontId="16" fillId="0" borderId="79" xfId="0" applyFont="1" applyBorder="1"/>
    <xf numFmtId="0" fontId="16" fillId="0" borderId="81" xfId="0" applyFont="1" applyBorder="1" applyAlignment="1"/>
    <xf numFmtId="178" fontId="0" fillId="0" borderId="82" xfId="0" applyNumberFormat="1" applyBorder="1" applyProtection="1">
      <protection hidden="1"/>
    </xf>
    <xf numFmtId="178" fontId="0" fillId="14" borderId="10" xfId="0" applyNumberFormat="1" applyFill="1" applyBorder="1"/>
    <xf numFmtId="0" fontId="1" fillId="0" borderId="1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0" xfId="0" applyBorder="1" applyAlignment="1">
      <alignment horizontal="center"/>
    </xf>
    <xf numFmtId="178" fontId="0" fillId="14" borderId="37" xfId="0" applyNumberFormat="1" applyFill="1" applyBorder="1" applyProtection="1">
      <protection hidden="1"/>
    </xf>
    <xf numFmtId="178" fontId="0" fillId="0" borderId="71" xfId="0" applyNumberFormat="1" applyFill="1" applyBorder="1" applyAlignment="1" applyProtection="1">
      <alignment horizontal="center"/>
      <protection hidden="1"/>
    </xf>
    <xf numFmtId="0" fontId="0" fillId="0" borderId="78" xfId="0" applyBorder="1"/>
    <xf numFmtId="0" fontId="0" fillId="0" borderId="18" xfId="0" applyBorder="1"/>
    <xf numFmtId="178" fontId="0" fillId="0" borderId="18" xfId="0" applyNumberFormat="1" applyBorder="1" applyProtection="1">
      <protection hidden="1"/>
    </xf>
    <xf numFmtId="178" fontId="0" fillId="14" borderId="18" xfId="0" applyNumberFormat="1" applyFill="1" applyBorder="1" applyProtection="1">
      <protection hidden="1"/>
    </xf>
    <xf numFmtId="0" fontId="0" fillId="0" borderId="18" xfId="0" applyNumberFormat="1" applyFill="1" applyBorder="1" applyAlignment="1" applyProtection="1">
      <alignment horizontal="center"/>
      <protection hidden="1"/>
    </xf>
    <xf numFmtId="178" fontId="0" fillId="14" borderId="58" xfId="0" applyNumberFormat="1" applyFill="1" applyBorder="1" applyProtection="1">
      <protection hidden="1"/>
    </xf>
    <xf numFmtId="0" fontId="16" fillId="0" borderId="84" xfId="0" applyFont="1" applyBorder="1" applyAlignment="1"/>
    <xf numFmtId="0" fontId="1" fillId="0" borderId="71" xfId="0" applyFont="1" applyFill="1" applyBorder="1" applyAlignment="1">
      <alignment horizontal="center"/>
    </xf>
    <xf numFmtId="0" fontId="0" fillId="14" borderId="79" xfId="0" applyFill="1" applyBorder="1"/>
    <xf numFmtId="0" fontId="1" fillId="14" borderId="70" xfId="0" applyFont="1" applyFill="1" applyBorder="1"/>
    <xf numFmtId="0" fontId="0" fillId="14" borderId="53" xfId="0" applyFill="1" applyBorder="1"/>
    <xf numFmtId="0" fontId="1" fillId="14" borderId="72" xfId="0" applyFont="1" applyFill="1" applyBorder="1"/>
    <xf numFmtId="0" fontId="1" fillId="14" borderId="18" xfId="0" applyFont="1" applyFill="1" applyBorder="1"/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2" borderId="91" xfId="0" applyFill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2" borderId="96" xfId="0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21" fillId="15" borderId="5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21" fillId="2" borderId="43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5" xfId="0" applyFill="1" applyBorder="1" applyAlignment="1">
      <alignment horizontal="center" wrapText="1"/>
    </xf>
    <xf numFmtId="0" fontId="0" fillId="0" borderId="60" xfId="0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14" borderId="70" xfId="0" applyFill="1" applyBorder="1" applyAlignment="1">
      <alignment horizontal="center"/>
    </xf>
    <xf numFmtId="0" fontId="0" fillId="14" borderId="72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8" xfId="0" applyBorder="1"/>
    <xf numFmtId="0" fontId="1" fillId="0" borderId="98" xfId="0" applyFont="1" applyBorder="1"/>
    <xf numFmtId="0" fontId="16" fillId="0" borderId="98" xfId="0" applyFont="1" applyBorder="1"/>
    <xf numFmtId="14" fontId="0" fillId="14" borderId="98" xfId="0" applyNumberFormat="1" applyFill="1" applyBorder="1" applyAlignment="1">
      <alignment horizontal="center"/>
    </xf>
    <xf numFmtId="178" fontId="0" fillId="0" borderId="98" xfId="0" applyNumberFormat="1" applyBorder="1"/>
    <xf numFmtId="0" fontId="0" fillId="0" borderId="100" xfId="0" applyBorder="1"/>
    <xf numFmtId="0" fontId="0" fillId="2" borderId="99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98" xfId="0" applyNumberFormat="1" applyFill="1" applyBorder="1" applyAlignment="1" applyProtection="1">
      <alignment horizontal="center"/>
      <protection hidden="1"/>
    </xf>
    <xf numFmtId="0" fontId="16" fillId="0" borderId="44" xfId="0" applyFont="1" applyBorder="1" applyAlignment="1"/>
    <xf numFmtId="0" fontId="16" fillId="0" borderId="45" xfId="0" applyFont="1" applyBorder="1" applyAlignment="1"/>
    <xf numFmtId="0" fontId="1" fillId="0" borderId="44" xfId="0" applyFont="1" applyBorder="1" applyAlignment="1"/>
    <xf numFmtId="0" fontId="1" fillId="0" borderId="45" xfId="0" applyFont="1" applyBorder="1" applyAlignment="1"/>
    <xf numFmtId="178" fontId="0" fillId="0" borderId="72" xfId="0" applyNumberFormat="1" applyBorder="1"/>
    <xf numFmtId="0" fontId="0" fillId="0" borderId="48" xfId="0" applyBorder="1"/>
    <xf numFmtId="178" fontId="0" fillId="0" borderId="48" xfId="0" applyNumberFormat="1" applyBorder="1"/>
    <xf numFmtId="178" fontId="0" fillId="14" borderId="48" xfId="0" applyNumberFormat="1" applyFill="1" applyBorder="1" applyProtection="1">
      <protection hidden="1"/>
    </xf>
    <xf numFmtId="178" fontId="0" fillId="14" borderId="98" xfId="0" applyNumberFormat="1" applyFill="1" applyBorder="1" applyProtection="1">
      <protection hidden="1"/>
    </xf>
    <xf numFmtId="0" fontId="16" fillId="0" borderId="100" xfId="0" applyFont="1" applyBorder="1"/>
    <xf numFmtId="0" fontId="1" fillId="0" borderId="100" xfId="0" applyFont="1" applyBorder="1"/>
    <xf numFmtId="0" fontId="0" fillId="0" borderId="63" xfId="0" applyBorder="1"/>
    <xf numFmtId="0" fontId="0" fillId="0" borderId="87" xfId="0" applyBorder="1"/>
    <xf numFmtId="0" fontId="1" fillId="0" borderId="48" xfId="0" applyFont="1" applyBorder="1"/>
    <xf numFmtId="16" fontId="0" fillId="0" borderId="48" xfId="0" applyNumberFormat="1" applyBorder="1"/>
    <xf numFmtId="16" fontId="0" fillId="0" borderId="98" xfId="0" applyNumberFormat="1" applyBorder="1"/>
    <xf numFmtId="0" fontId="1" fillId="0" borderId="31" xfId="0" applyFont="1" applyFill="1" applyBorder="1"/>
    <xf numFmtId="16" fontId="0" fillId="0" borderId="0" xfId="0" applyNumberFormat="1"/>
    <xf numFmtId="0" fontId="0" fillId="0" borderId="48" xfId="0" applyBorder="1" applyAlignment="1">
      <alignment horizontal="right"/>
    </xf>
    <xf numFmtId="0" fontId="0" fillId="0" borderId="98" xfId="0" applyBorder="1" applyAlignment="1">
      <alignment horizontal="right"/>
    </xf>
    <xf numFmtId="0" fontId="0" fillId="0" borderId="4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6" fillId="0" borderId="110" xfId="0" applyFont="1" applyBorder="1" applyAlignment="1"/>
    <xf numFmtId="178" fontId="0" fillId="0" borderId="106" xfId="0" applyNumberFormat="1" applyBorder="1" applyProtection="1">
      <protection hidden="1"/>
    </xf>
    <xf numFmtId="178" fontId="0" fillId="0" borderId="103" xfId="0" applyNumberFormat="1" applyBorder="1" applyProtection="1">
      <protection hidden="1"/>
    </xf>
    <xf numFmtId="178" fontId="0" fillId="0" borderId="104" xfId="0" applyNumberFormat="1" applyBorder="1" applyProtection="1">
      <protection hidden="1"/>
    </xf>
    <xf numFmtId="0" fontId="1" fillId="0" borderId="10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Border="1"/>
    <xf numFmtId="0" fontId="0" fillId="0" borderId="106" xfId="0" applyBorder="1"/>
    <xf numFmtId="0" fontId="0" fillId="0" borderId="105" xfId="0" applyBorder="1"/>
    <xf numFmtId="0" fontId="0" fillId="0" borderId="103" xfId="0" applyBorder="1"/>
    <xf numFmtId="0" fontId="0" fillId="0" borderId="0" xfId="0" applyProtection="1">
      <protection locked="0"/>
    </xf>
    <xf numFmtId="14" fontId="0" fillId="14" borderId="106" xfId="0" applyNumberFormat="1" applyFill="1" applyBorder="1" applyAlignment="1">
      <alignment horizontal="center"/>
    </xf>
    <xf numFmtId="14" fontId="0" fillId="0" borderId="106" xfId="0" applyNumberFormat="1" applyFill="1" applyBorder="1" applyAlignment="1">
      <alignment horizontal="center"/>
    </xf>
    <xf numFmtId="0" fontId="16" fillId="0" borderId="107" xfId="0" applyFont="1" applyBorder="1"/>
    <xf numFmtId="16" fontId="0" fillId="0" borderId="0" xfId="0" applyNumberFormat="1" applyBorder="1"/>
    <xf numFmtId="0" fontId="16" fillId="0" borderId="105" xfId="0" applyFont="1" applyBorder="1" applyAlignment="1">
      <alignment horizontal="left"/>
    </xf>
    <xf numFmtId="0" fontId="1" fillId="0" borderId="105" xfId="0" applyFont="1" applyBorder="1" applyAlignment="1">
      <alignment horizontal="left"/>
    </xf>
    <xf numFmtId="0" fontId="0" fillId="0" borderId="55" xfId="0" applyBorder="1"/>
    <xf numFmtId="0" fontId="1" fillId="0" borderId="53" xfId="0" applyFont="1" applyBorder="1" applyAlignment="1">
      <alignment horizontal="center"/>
    </xf>
    <xf numFmtId="0" fontId="1" fillId="0" borderId="103" xfId="0" applyFont="1" applyBorder="1"/>
    <xf numFmtId="182" fontId="0" fillId="0" borderId="0" xfId="0" applyNumberFormat="1" applyBorder="1"/>
    <xf numFmtId="182" fontId="0" fillId="0" borderId="9" xfId="0" applyNumberFormat="1" applyBorder="1"/>
    <xf numFmtId="14" fontId="43" fillId="2" borderId="141" xfId="2" applyNumberFormat="1" applyFont="1" applyFill="1" applyBorder="1" applyAlignment="1">
      <alignment horizontal="left" wrapText="1"/>
    </xf>
    <xf numFmtId="14" fontId="43" fillId="2" borderId="140" xfId="2" applyNumberFormat="1" applyFont="1" applyFill="1" applyBorder="1" applyAlignment="1">
      <alignment horizontal="left" wrapText="1"/>
    </xf>
    <xf numFmtId="0" fontId="1" fillId="0" borderId="86" xfId="0" applyFon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1" fillId="0" borderId="105" xfId="0" applyFont="1" applyBorder="1" applyAlignment="1" applyProtection="1">
      <alignment horizontal="center"/>
      <protection hidden="1"/>
    </xf>
    <xf numFmtId="0" fontId="1" fillId="0" borderId="46" xfId="0" applyFont="1" applyBorder="1" applyAlignment="1" applyProtection="1">
      <alignment horizontal="center"/>
      <protection hidden="1"/>
    </xf>
    <xf numFmtId="0" fontId="1" fillId="0" borderId="106" xfId="0" applyFont="1" applyBorder="1" applyProtection="1">
      <protection hidden="1"/>
    </xf>
    <xf numFmtId="0" fontId="0" fillId="0" borderId="106" xfId="0" applyBorder="1" applyProtection="1">
      <protection hidden="1"/>
    </xf>
    <xf numFmtId="0" fontId="0" fillId="0" borderId="107" xfId="0" applyBorder="1" applyProtection="1">
      <protection hidden="1"/>
    </xf>
    <xf numFmtId="0" fontId="1" fillId="0" borderId="108" xfId="0" applyFont="1" applyBorder="1" applyProtection="1">
      <protection hidden="1"/>
    </xf>
    <xf numFmtId="0" fontId="1" fillId="0" borderId="109" xfId="0" applyFont="1" applyBorder="1" applyProtection="1">
      <protection hidden="1"/>
    </xf>
    <xf numFmtId="0" fontId="1" fillId="0" borderId="107" xfId="0" applyFont="1" applyBorder="1" applyAlignment="1" applyProtection="1">
      <alignment horizontal="center"/>
      <protection hidden="1"/>
    </xf>
    <xf numFmtId="0" fontId="0" fillId="0" borderId="105" xfId="0" applyBorder="1" applyProtection="1">
      <protection hidden="1"/>
    </xf>
    <xf numFmtId="0" fontId="1" fillId="0" borderId="0" xfId="0" applyFont="1" applyBorder="1" applyProtection="1">
      <protection hidden="1"/>
    </xf>
    <xf numFmtId="178" fontId="1" fillId="0" borderId="106" xfId="0" applyNumberFormat="1" applyFont="1" applyBorder="1" applyAlignment="1" applyProtection="1">
      <alignment horizontal="left"/>
      <protection hidden="1"/>
    </xf>
    <xf numFmtId="178" fontId="0" fillId="0" borderId="106" xfId="0" applyNumberFormat="1" applyBorder="1" applyAlignment="1" applyProtection="1">
      <alignment horizontal="left"/>
      <protection hidden="1"/>
    </xf>
    <xf numFmtId="178" fontId="0" fillId="0" borderId="107" xfId="0" applyNumberFormat="1" applyBorder="1" applyAlignment="1" applyProtection="1">
      <alignment horizontal="left"/>
      <protection hidden="1"/>
    </xf>
    <xf numFmtId="178" fontId="1" fillId="0" borderId="108" xfId="0" applyNumberFormat="1" applyFont="1" applyBorder="1" applyAlignment="1" applyProtection="1">
      <alignment horizontal="left"/>
      <protection hidden="1"/>
    </xf>
    <xf numFmtId="178" fontId="0" fillId="0" borderId="109" xfId="0" applyNumberFormat="1" applyBorder="1" applyAlignment="1" applyProtection="1">
      <alignment horizontal="left"/>
      <protection hidden="1"/>
    </xf>
    <xf numFmtId="0" fontId="1" fillId="0" borderId="105" xfId="0" applyFont="1" applyBorder="1" applyProtection="1">
      <protection hidden="1"/>
    </xf>
    <xf numFmtId="178" fontId="0" fillId="0" borderId="0" xfId="0" applyNumberFormat="1" applyBorder="1" applyAlignment="1" applyProtection="1">
      <alignment horizontal="left"/>
      <protection hidden="1"/>
    </xf>
    <xf numFmtId="178" fontId="1" fillId="14" borderId="106" xfId="0" applyNumberFormat="1" applyFont="1" applyFill="1" applyBorder="1" applyAlignment="1" applyProtection="1">
      <alignment horizontal="left"/>
      <protection hidden="1"/>
    </xf>
    <xf numFmtId="0" fontId="0" fillId="0" borderId="0" xfId="0" applyNumberFormat="1" applyBorder="1" applyAlignment="1" applyProtection="1">
      <alignment horizontal="center"/>
      <protection hidden="1"/>
    </xf>
    <xf numFmtId="0" fontId="1" fillId="0" borderId="106" xfId="0" applyNumberFormat="1" applyFont="1" applyBorder="1" applyAlignment="1" applyProtection="1">
      <alignment horizontal="center"/>
      <protection hidden="1"/>
    </xf>
    <xf numFmtId="0" fontId="1" fillId="0" borderId="112" xfId="0" applyFont="1" applyBorder="1" applyProtection="1">
      <protection hidden="1"/>
    </xf>
    <xf numFmtId="0" fontId="1" fillId="0" borderId="111" xfId="0" applyNumberFormat="1" applyFont="1" applyBorder="1" applyAlignment="1" applyProtection="1">
      <alignment horizontal="center"/>
      <protection hidden="1"/>
    </xf>
    <xf numFmtId="0" fontId="0" fillId="0" borderId="112" xfId="0" applyBorder="1" applyProtection="1">
      <protection hidden="1"/>
    </xf>
    <xf numFmtId="178" fontId="0" fillId="14" borderId="7" xfId="0" applyNumberFormat="1" applyFill="1" applyBorder="1" applyProtection="1">
      <protection hidden="1"/>
    </xf>
    <xf numFmtId="0" fontId="0" fillId="0" borderId="6" xfId="0" applyBorder="1" applyProtection="1">
      <protection hidden="1"/>
    </xf>
    <xf numFmtId="0" fontId="1" fillId="0" borderId="107" xfId="0" applyNumberFormat="1" applyFont="1" applyBorder="1" applyAlignment="1" applyProtection="1">
      <alignment horizontal="center"/>
      <protection hidden="1"/>
    </xf>
    <xf numFmtId="0" fontId="1" fillId="0" borderId="113" xfId="0" applyNumberFormat="1" applyFont="1" applyBorder="1" applyAlignment="1" applyProtection="1">
      <alignment horizontal="center"/>
      <protection hidden="1"/>
    </xf>
    <xf numFmtId="14" fontId="0" fillId="0" borderId="105" xfId="0" applyNumberFormat="1" applyBorder="1" applyAlignment="1" applyProtection="1">
      <alignment horizontal="center"/>
      <protection hidden="1"/>
    </xf>
    <xf numFmtId="0" fontId="1" fillId="0" borderId="106" xfId="0" applyFont="1" applyBorder="1" applyAlignment="1" applyProtection="1">
      <alignment horizontal="center"/>
      <protection hidden="1"/>
    </xf>
    <xf numFmtId="0" fontId="0" fillId="0" borderId="106" xfId="0" applyBorder="1" applyAlignment="1" applyProtection="1">
      <alignment horizontal="center"/>
      <protection hidden="1"/>
    </xf>
    <xf numFmtId="0" fontId="0" fillId="0" borderId="107" xfId="0" applyBorder="1" applyAlignment="1" applyProtection="1">
      <alignment horizontal="center"/>
      <protection hidden="1"/>
    </xf>
    <xf numFmtId="0" fontId="0" fillId="14" borderId="106" xfId="0" applyFill="1" applyBorder="1" applyAlignment="1" applyProtection="1">
      <alignment horizontal="center"/>
      <protection hidden="1"/>
    </xf>
    <xf numFmtId="0" fontId="0" fillId="14" borderId="107" xfId="0" applyFill="1" applyBorder="1" applyAlignment="1" applyProtection="1">
      <alignment horizontal="center"/>
      <protection hidden="1"/>
    </xf>
    <xf numFmtId="178" fontId="0" fillId="14" borderId="0" xfId="0" applyNumberFormat="1" applyFill="1" applyBorder="1" applyProtection="1">
      <protection hidden="1"/>
    </xf>
    <xf numFmtId="178" fontId="0" fillId="14" borderId="106" xfId="0" applyNumberFormat="1" applyFill="1" applyBorder="1" applyAlignment="1" applyProtection="1">
      <alignment horizontal="center"/>
      <protection hidden="1"/>
    </xf>
    <xf numFmtId="178" fontId="0" fillId="14" borderId="107" xfId="0" applyNumberFormat="1" applyFill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  <xf numFmtId="178" fontId="0" fillId="14" borderId="133" xfId="0" applyNumberFormat="1" applyFill="1" applyBorder="1" applyAlignment="1" applyProtection="1">
      <alignment horizontal="center"/>
      <protection hidden="1"/>
    </xf>
    <xf numFmtId="14" fontId="0" fillId="0" borderId="119" xfId="0" applyNumberFormat="1" applyBorder="1" applyAlignment="1" applyProtection="1">
      <alignment horizontal="center"/>
      <protection hidden="1"/>
    </xf>
    <xf numFmtId="0" fontId="0" fillId="0" borderId="92" xfId="0" applyBorder="1" applyProtection="1">
      <protection hidden="1"/>
    </xf>
    <xf numFmtId="178" fontId="0" fillId="0" borderId="92" xfId="0" applyNumberFormat="1" applyBorder="1" applyAlignment="1" applyProtection="1">
      <alignment horizontal="center"/>
      <protection hidden="1"/>
    </xf>
    <xf numFmtId="178" fontId="0" fillId="0" borderId="118" xfId="0" applyNumberFormat="1" applyBorder="1" applyAlignment="1" applyProtection="1">
      <alignment horizontal="center"/>
      <protection hidden="1"/>
    </xf>
    <xf numFmtId="14" fontId="0" fillId="0" borderId="55" xfId="0" applyNumberFormat="1" applyBorder="1" applyAlignment="1" applyProtection="1">
      <alignment horizontal="center"/>
      <protection hidden="1"/>
    </xf>
    <xf numFmtId="0" fontId="0" fillId="0" borderId="18" xfId="0" applyBorder="1" applyProtection="1">
      <protection hidden="1"/>
    </xf>
    <xf numFmtId="0" fontId="1" fillId="0" borderId="18" xfId="0" applyFont="1" applyBorder="1" applyAlignment="1" applyProtection="1">
      <alignment horizontal="center"/>
      <protection hidden="1"/>
    </xf>
    <xf numFmtId="0" fontId="0" fillId="0" borderId="18" xfId="0" applyBorder="1" applyAlignment="1" applyProtection="1">
      <alignment horizontal="center"/>
      <protection hidden="1"/>
    </xf>
    <xf numFmtId="0" fontId="0" fillId="0" borderId="58" xfId="0" applyBorder="1" applyAlignment="1" applyProtection="1">
      <alignment horizontal="center"/>
      <protection hidden="1"/>
    </xf>
    <xf numFmtId="0" fontId="0" fillId="0" borderId="111" xfId="0" applyBorder="1" applyProtection="1">
      <protection hidden="1"/>
    </xf>
    <xf numFmtId="0" fontId="1" fillId="0" borderId="53" xfId="0" applyFont="1" applyBorder="1" applyProtection="1">
      <protection hidden="1"/>
    </xf>
    <xf numFmtId="178" fontId="0" fillId="14" borderId="103" xfId="0" applyNumberFormat="1" applyFill="1" applyBorder="1" applyProtection="1">
      <protection hidden="1"/>
    </xf>
    <xf numFmtId="178" fontId="0" fillId="18" borderId="9" xfId="0" applyNumberFormat="1" applyFill="1" applyBorder="1" applyAlignment="1" applyProtection="1">
      <alignment horizontal="center"/>
      <protection hidden="1"/>
    </xf>
    <xf numFmtId="178" fontId="0" fillId="18" borderId="10" xfId="0" applyNumberFormat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0" fillId="0" borderId="117" xfId="0" applyNumberFormat="1" applyBorder="1" applyAlignment="1" applyProtection="1">
      <alignment horizontal="center"/>
      <protection hidden="1"/>
    </xf>
    <xf numFmtId="0" fontId="0" fillId="0" borderId="20" xfId="0" applyBorder="1" applyAlignment="1" applyProtection="1">
      <alignment horizontal="center"/>
      <protection hidden="1"/>
    </xf>
    <xf numFmtId="0" fontId="0" fillId="0" borderId="19" xfId="0" applyBorder="1" applyAlignment="1" applyProtection="1">
      <alignment horizontal="center"/>
      <protection hidden="1"/>
    </xf>
    <xf numFmtId="0" fontId="0" fillId="0" borderId="108" xfId="0" applyBorder="1" applyAlignment="1" applyProtection="1">
      <alignment horizontal="center"/>
      <protection hidden="1"/>
    </xf>
    <xf numFmtId="0" fontId="0" fillId="0" borderId="109" xfId="0" applyBorder="1" applyAlignment="1" applyProtection="1">
      <alignment horizontal="center"/>
      <protection hidden="1"/>
    </xf>
    <xf numFmtId="0" fontId="1" fillId="0" borderId="109" xfId="0" applyFont="1" applyBorder="1" applyAlignment="1" applyProtection="1">
      <alignment horizontal="center"/>
      <protection hidden="1"/>
    </xf>
    <xf numFmtId="14" fontId="0" fillId="0" borderId="112" xfId="0" applyNumberFormat="1" applyBorder="1" applyAlignment="1" applyProtection="1">
      <alignment horizontal="center"/>
      <protection hidden="1"/>
    </xf>
    <xf numFmtId="0" fontId="1" fillId="0" borderId="111" xfId="0" applyFont="1" applyBorder="1" applyAlignment="1" applyProtection="1">
      <alignment horizontal="center"/>
      <protection hidden="1"/>
    </xf>
    <xf numFmtId="0" fontId="0" fillId="0" borderId="111" xfId="0" applyBorder="1" applyAlignment="1" applyProtection="1">
      <alignment horizontal="center"/>
      <protection hidden="1"/>
    </xf>
    <xf numFmtId="0" fontId="0" fillId="0" borderId="113" xfId="0" applyBorder="1" applyAlignment="1" applyProtection="1">
      <alignment horizontal="center"/>
      <protection hidden="1"/>
    </xf>
    <xf numFmtId="0" fontId="0" fillId="0" borderId="114" xfId="0" applyBorder="1" applyAlignment="1" applyProtection="1">
      <alignment horizontal="center"/>
      <protection hidden="1"/>
    </xf>
    <xf numFmtId="0" fontId="1" fillId="0" borderId="115" xfId="0" applyFont="1" applyBorder="1" applyAlignment="1" applyProtection="1">
      <alignment horizontal="center"/>
      <protection hidden="1"/>
    </xf>
    <xf numFmtId="0" fontId="1" fillId="0" borderId="113" xfId="0" applyFont="1" applyBorder="1" applyAlignment="1" applyProtection="1">
      <alignment horizontal="center"/>
      <protection hidden="1"/>
    </xf>
    <xf numFmtId="0" fontId="0" fillId="0" borderId="116" xfId="0" applyBorder="1" applyProtection="1">
      <protection hidden="1"/>
    </xf>
    <xf numFmtId="0" fontId="1" fillId="0" borderId="116" xfId="0" applyFont="1" applyBorder="1" applyProtection="1">
      <protection hidden="1"/>
    </xf>
    <xf numFmtId="0" fontId="1" fillId="0" borderId="131" xfId="0" applyFont="1" applyBorder="1" applyProtection="1">
      <protection hidden="1"/>
    </xf>
    <xf numFmtId="0" fontId="1" fillId="0" borderId="58" xfId="0" applyFont="1" applyBorder="1" applyAlignment="1" applyProtection="1">
      <alignment horizontal="center"/>
      <protection hidden="1"/>
    </xf>
    <xf numFmtId="0" fontId="0" fillId="0" borderId="115" xfId="0" applyBorder="1" applyAlignment="1" applyProtection="1">
      <alignment horizontal="center"/>
      <protection hidden="1"/>
    </xf>
    <xf numFmtId="0" fontId="1" fillId="0" borderId="19" xfId="0" applyFont="1" applyBorder="1" applyAlignment="1" applyProtection="1">
      <alignment horizontal="center"/>
      <protection hidden="1"/>
    </xf>
    <xf numFmtId="178" fontId="0" fillId="14" borderId="111" xfId="0" applyNumberFormat="1" applyFill="1" applyBorder="1" applyAlignment="1" applyProtection="1">
      <alignment horizontal="center"/>
      <protection hidden="1"/>
    </xf>
    <xf numFmtId="178" fontId="0" fillId="14" borderId="115" xfId="0" applyNumberFormat="1" applyFill="1" applyBorder="1" applyAlignment="1" applyProtection="1">
      <alignment horizontal="center"/>
      <protection hidden="1"/>
    </xf>
    <xf numFmtId="0" fontId="0" fillId="0" borderId="124" xfId="0" applyBorder="1" applyAlignment="1" applyProtection="1">
      <alignment horizontal="center"/>
      <protection hidden="1"/>
    </xf>
    <xf numFmtId="0" fontId="0" fillId="0" borderId="138" xfId="0" applyBorder="1" applyAlignment="1" applyProtection="1">
      <alignment horizontal="center"/>
      <protection hidden="1"/>
    </xf>
    <xf numFmtId="0" fontId="0" fillId="0" borderId="8" xfId="0" applyBorder="1" applyProtection="1">
      <protection hidden="1"/>
    </xf>
    <xf numFmtId="178" fontId="0" fillId="14" borderId="9" xfId="0" applyNumberFormat="1" applyFill="1" applyBorder="1" applyProtection="1">
      <protection hidden="1"/>
    </xf>
    <xf numFmtId="178" fontId="0" fillId="0" borderId="0" xfId="0" applyNumberFormat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0" fontId="0" fillId="0" borderId="129" xfId="0" applyBorder="1" applyProtection="1">
      <protection hidden="1"/>
    </xf>
    <xf numFmtId="14" fontId="0" fillId="0" borderId="134" xfId="0" applyNumberFormat="1" applyBorder="1" applyAlignment="1" applyProtection="1">
      <alignment horizontal="center"/>
      <protection hidden="1"/>
    </xf>
    <xf numFmtId="0" fontId="0" fillId="0" borderId="127" xfId="0" applyBorder="1" applyProtection="1">
      <protection hidden="1"/>
    </xf>
    <xf numFmtId="178" fontId="0" fillId="0" borderId="123" xfId="0" applyNumberFormat="1" applyBorder="1" applyAlignment="1" applyProtection="1">
      <alignment horizontal="center"/>
      <protection hidden="1"/>
    </xf>
    <xf numFmtId="178" fontId="0" fillId="0" borderId="135" xfId="0" applyNumberFormat="1" applyBorder="1" applyAlignment="1" applyProtection="1">
      <alignment horizontal="center"/>
      <protection hidden="1"/>
    </xf>
    <xf numFmtId="14" fontId="0" fillId="0" borderId="126" xfId="0" applyNumberFormat="1" applyBorder="1" applyAlignment="1" applyProtection="1">
      <alignment horizontal="center"/>
      <protection hidden="1"/>
    </xf>
    <xf numFmtId="0" fontId="1" fillId="0" borderId="127" xfId="0" applyFont="1" applyBorder="1" applyAlignment="1" applyProtection="1">
      <alignment horizontal="center"/>
      <protection hidden="1"/>
    </xf>
    <xf numFmtId="0" fontId="0" fillId="0" borderId="127" xfId="0" applyBorder="1" applyAlignment="1" applyProtection="1">
      <alignment horizontal="center"/>
      <protection hidden="1"/>
    </xf>
    <xf numFmtId="0" fontId="1" fillId="0" borderId="128" xfId="0" applyFont="1" applyBorder="1" applyAlignment="1" applyProtection="1">
      <alignment horizontal="center"/>
      <protection hidden="1"/>
    </xf>
    <xf numFmtId="0" fontId="0" fillId="0" borderId="60" xfId="0" applyBorder="1" applyAlignment="1" applyProtection="1">
      <alignment horizontal="center"/>
      <protection hidden="1"/>
    </xf>
    <xf numFmtId="0" fontId="1" fillId="0" borderId="136" xfId="0" applyFont="1" applyBorder="1" applyAlignment="1" applyProtection="1">
      <alignment horizontal="center"/>
      <protection hidden="1"/>
    </xf>
    <xf numFmtId="178" fontId="0" fillId="0" borderId="106" xfId="0" applyNumberFormat="1" applyBorder="1" applyAlignment="1" applyProtection="1">
      <alignment horizontal="center"/>
      <protection hidden="1"/>
    </xf>
    <xf numFmtId="178" fontId="0" fillId="0" borderId="107" xfId="0" applyNumberFormat="1" applyBorder="1" applyAlignment="1" applyProtection="1">
      <alignment horizontal="center"/>
      <protection hidden="1"/>
    </xf>
    <xf numFmtId="178" fontId="0" fillId="0" borderId="125" xfId="0" applyNumberFormat="1" applyBorder="1" applyAlignment="1" applyProtection="1">
      <alignment horizontal="center"/>
      <protection hidden="1"/>
    </xf>
    <xf numFmtId="0" fontId="1" fillId="0" borderId="60" xfId="0" applyFont="1" applyBorder="1" applyAlignment="1" applyProtection="1">
      <alignment horizontal="center"/>
      <protection hidden="1"/>
    </xf>
    <xf numFmtId="0" fontId="0" fillId="0" borderId="90" xfId="0" applyBorder="1" applyAlignment="1" applyProtection="1">
      <alignment horizontal="center"/>
      <protection hidden="1"/>
    </xf>
    <xf numFmtId="14" fontId="0" fillId="0" borderId="137" xfId="0" applyNumberFormat="1" applyBorder="1" applyAlignment="1" applyProtection="1">
      <alignment horizontal="center"/>
      <protection hidden="1"/>
    </xf>
    <xf numFmtId="0" fontId="0" fillId="0" borderId="124" xfId="0" applyBorder="1" applyProtection="1">
      <protection hidden="1"/>
    </xf>
    <xf numFmtId="14" fontId="0" fillId="0" borderId="50" xfId="0" applyNumberFormat="1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51" xfId="0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  <protection hidden="1"/>
    </xf>
    <xf numFmtId="0" fontId="1" fillId="0" borderId="31" xfId="0" applyFont="1" applyBorder="1" applyAlignment="1" applyProtection="1">
      <alignment horizontal="center"/>
      <protection hidden="1"/>
    </xf>
    <xf numFmtId="0" fontId="0" fillId="0" borderId="46" xfId="0" applyBorder="1" applyAlignment="1" applyProtection="1">
      <alignment horizontal="center"/>
      <protection hidden="1"/>
    </xf>
    <xf numFmtId="0" fontId="1" fillId="0" borderId="130" xfId="0" applyFont="1" applyBorder="1" applyProtection="1">
      <protection hidden="1"/>
    </xf>
    <xf numFmtId="0" fontId="1" fillId="0" borderId="139" xfId="0" applyFont="1" applyBorder="1" applyProtection="1">
      <protection hidden="1"/>
    </xf>
    <xf numFmtId="0" fontId="0" fillId="0" borderId="123" xfId="0" applyBorder="1" applyProtection="1">
      <protection hidden="1"/>
    </xf>
    <xf numFmtId="0" fontId="0" fillId="0" borderId="123" xfId="0" applyBorder="1" applyAlignment="1" applyProtection="1">
      <alignment horizontal="center"/>
      <protection hidden="1"/>
    </xf>
    <xf numFmtId="0" fontId="0" fillId="0" borderId="135" xfId="0" applyBorder="1" applyAlignment="1" applyProtection="1">
      <alignment horizontal="center"/>
      <protection hidden="1"/>
    </xf>
    <xf numFmtId="178" fontId="0" fillId="0" borderId="0" xfId="0" applyNumberFormat="1" applyBorder="1" applyProtection="1">
      <protection hidden="1"/>
    </xf>
    <xf numFmtId="178" fontId="1" fillId="14" borderId="113" xfId="0" applyNumberFormat="1" applyFont="1" applyFill="1" applyBorder="1" applyAlignment="1" applyProtection="1">
      <alignment horizontal="left"/>
      <protection hidden="1"/>
    </xf>
    <xf numFmtId="0" fontId="0" fillId="18" borderId="32" xfId="0" applyFill="1" applyBorder="1" applyProtection="1">
      <protection hidden="1"/>
    </xf>
    <xf numFmtId="178" fontId="0" fillId="18" borderId="33" xfId="0" applyNumberFormat="1" applyFill="1" applyBorder="1" applyProtection="1">
      <protection hidden="1"/>
    </xf>
    <xf numFmtId="178" fontId="1" fillId="18" borderId="33" xfId="0" applyNumberFormat="1" applyFont="1" applyFill="1" applyBorder="1" applyAlignment="1" applyProtection="1">
      <alignment horizontal="left"/>
      <protection hidden="1"/>
    </xf>
    <xf numFmtId="178" fontId="1" fillId="18" borderId="26" xfId="0" applyNumberFormat="1" applyFont="1" applyFill="1" applyBorder="1" applyAlignment="1" applyProtection="1">
      <alignment horizontal="left"/>
      <protection hidden="1"/>
    </xf>
    <xf numFmtId="178" fontId="0" fillId="14" borderId="132" xfId="0" applyNumberFormat="1" applyFill="1" applyBorder="1" applyProtection="1">
      <protection hidden="1"/>
    </xf>
    <xf numFmtId="0" fontId="2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8" fillId="3" borderId="32" xfId="0" applyFont="1" applyFill="1" applyBorder="1" applyAlignment="1">
      <alignment horizontal="center"/>
    </xf>
    <xf numFmtId="0" fontId="18" fillId="3" borderId="33" xfId="0" applyFont="1" applyFill="1" applyBorder="1" applyAlignment="1">
      <alignment horizontal="center"/>
    </xf>
    <xf numFmtId="180" fontId="14" fillId="5" borderId="24" xfId="0" applyNumberFormat="1" applyFont="1" applyFill="1" applyBorder="1" applyAlignment="1">
      <alignment horizontal="center" vertical="center"/>
    </xf>
    <xf numFmtId="180" fontId="14" fillId="5" borderId="17" xfId="0" applyNumberFormat="1" applyFont="1" applyFill="1" applyBorder="1" applyAlignment="1">
      <alignment horizontal="center" vertical="center"/>
    </xf>
    <xf numFmtId="180" fontId="14" fillId="5" borderId="25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left" vertical="center"/>
    </xf>
    <xf numFmtId="0" fontId="21" fillId="3" borderId="30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180" fontId="0" fillId="0" borderId="3" xfId="0" applyNumberFormat="1" applyBorder="1" applyAlignment="1" applyProtection="1">
      <alignment horizontal="center"/>
      <protection hidden="1"/>
    </xf>
    <xf numFmtId="180" fontId="0" fillId="0" borderId="4" xfId="0" applyNumberFormat="1" applyBorder="1" applyAlignment="1" applyProtection="1">
      <alignment horizontal="center"/>
      <protection hidden="1"/>
    </xf>
    <xf numFmtId="180" fontId="0" fillId="0" borderId="5" xfId="0" applyNumberFormat="1" applyBorder="1" applyAlignment="1" applyProtection="1">
      <alignment horizontal="center"/>
      <protection hidden="1"/>
    </xf>
    <xf numFmtId="0" fontId="16" fillId="9" borderId="31" xfId="0" applyFont="1" applyFill="1" applyBorder="1" applyAlignment="1">
      <alignment horizontal="center" vertical="center" wrapText="1"/>
    </xf>
    <xf numFmtId="0" fontId="16" fillId="9" borderId="51" xfId="0" applyFont="1" applyFill="1" applyBorder="1" applyAlignment="1">
      <alignment horizontal="center" vertical="center" wrapText="1"/>
    </xf>
    <xf numFmtId="0" fontId="0" fillId="0" borderId="76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 applyAlignment="1">
      <alignment horizontal="left"/>
    </xf>
    <xf numFmtId="0" fontId="0" fillId="0" borderId="75" xfId="0" applyBorder="1" applyAlignment="1">
      <alignment horizontal="left"/>
    </xf>
    <xf numFmtId="0" fontId="16" fillId="0" borderId="44" xfId="0" applyFont="1" applyBorder="1" applyAlignment="1">
      <alignment horizontal="left"/>
    </xf>
    <xf numFmtId="0" fontId="16" fillId="0" borderId="45" xfId="0" applyFont="1" applyBorder="1" applyAlignment="1">
      <alignment horizontal="left"/>
    </xf>
    <xf numFmtId="0" fontId="16" fillId="0" borderId="46" xfId="0" applyFont="1" applyBorder="1" applyAlignment="1">
      <alignment horizontal="left"/>
    </xf>
    <xf numFmtId="0" fontId="16" fillId="0" borderId="47" xfId="0" applyFont="1" applyBorder="1" applyAlignment="1">
      <alignment horizontal="left"/>
    </xf>
    <xf numFmtId="0" fontId="1" fillId="0" borderId="42" xfId="0" applyFont="1" applyBorder="1" applyAlignment="1">
      <alignment horizontal="center" vertical="center" textRotation="90"/>
    </xf>
    <xf numFmtId="0" fontId="16" fillId="0" borderId="42" xfId="0" applyFont="1" applyBorder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9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42" xfId="0" applyBorder="1" applyAlignment="1">
      <alignment horizontal="left"/>
    </xf>
    <xf numFmtId="0" fontId="0" fillId="0" borderId="98" xfId="0" applyBorder="1" applyAlignment="1">
      <alignment horizontal="left"/>
    </xf>
    <xf numFmtId="0" fontId="16" fillId="12" borderId="44" xfId="0" applyFont="1" applyFill="1" applyBorder="1" applyAlignment="1">
      <alignment horizontal="center"/>
    </xf>
    <xf numFmtId="0" fontId="16" fillId="12" borderId="97" xfId="0" applyFont="1" applyFill="1" applyBorder="1" applyAlignment="1">
      <alignment horizontal="center"/>
    </xf>
    <xf numFmtId="0" fontId="16" fillId="12" borderId="43" xfId="0" applyFont="1" applyFill="1" applyBorder="1" applyAlignment="1">
      <alignment horizontal="center"/>
    </xf>
    <xf numFmtId="0" fontId="16" fillId="12" borderId="45" xfId="0" applyFont="1" applyFill="1" applyBorder="1" applyAlignment="1">
      <alignment horizontal="center"/>
    </xf>
    <xf numFmtId="0" fontId="16" fillId="12" borderId="1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98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12" borderId="10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/>
    </xf>
    <xf numFmtId="0" fontId="16" fillId="12" borderId="122" xfId="0" applyFont="1" applyFill="1" applyBorder="1" applyAlignment="1">
      <alignment horizontal="center"/>
    </xf>
    <xf numFmtId="0" fontId="1" fillId="0" borderId="56" xfId="0" applyFont="1" applyBorder="1" applyAlignment="1">
      <alignment horizontal="center"/>
    </xf>
    <xf numFmtId="0" fontId="1" fillId="0" borderId="110" xfId="0" applyFont="1" applyBorder="1" applyAlignment="1">
      <alignment horizontal="center"/>
    </xf>
    <xf numFmtId="0" fontId="1" fillId="0" borderId="90" xfId="0" applyFont="1" applyBorder="1" applyAlignment="1">
      <alignment horizontal="center"/>
    </xf>
    <xf numFmtId="0" fontId="1" fillId="12" borderId="55" xfId="0" applyFont="1" applyFill="1" applyBorder="1" applyAlignment="1">
      <alignment horizontal="center"/>
    </xf>
    <xf numFmtId="0" fontId="16" fillId="12" borderId="58" xfId="0" applyFont="1" applyFill="1" applyBorder="1" applyAlignment="1">
      <alignment horizontal="center"/>
    </xf>
    <xf numFmtId="0" fontId="0" fillId="0" borderId="105" xfId="0" applyBorder="1" applyAlignment="1">
      <alignment horizontal="center"/>
    </xf>
    <xf numFmtId="0" fontId="0" fillId="0" borderId="106" xfId="0" applyBorder="1" applyAlignment="1">
      <alignment horizontal="center"/>
    </xf>
    <xf numFmtId="0" fontId="0" fillId="0" borderId="107" xfId="0" applyBorder="1" applyAlignment="1">
      <alignment horizontal="center"/>
    </xf>
    <xf numFmtId="0" fontId="0" fillId="0" borderId="106" xfId="0" applyBorder="1" applyAlignment="1">
      <alignment horizontal="left"/>
    </xf>
    <xf numFmtId="0" fontId="0" fillId="0" borderId="107" xfId="0" applyBorder="1" applyAlignment="1">
      <alignment horizontal="left"/>
    </xf>
    <xf numFmtId="0" fontId="1" fillId="0" borderId="106" xfId="0" applyFont="1" applyBorder="1" applyAlignment="1">
      <alignment horizontal="left"/>
    </xf>
    <xf numFmtId="0" fontId="1" fillId="0" borderId="107" xfId="0" applyFont="1" applyBorder="1" applyAlignment="1">
      <alignment horizontal="left"/>
    </xf>
    <xf numFmtId="0" fontId="0" fillId="0" borderId="4" xfId="0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2" xfId="0" applyFont="1" applyBorder="1" applyAlignment="1">
      <alignment horizontal="center" vertical="center" textRotation="90"/>
    </xf>
    <xf numFmtId="0" fontId="0" fillId="0" borderId="50" xfId="0" applyBorder="1" applyAlignment="1">
      <alignment horizontal="center" vertical="center" textRotation="90"/>
    </xf>
    <xf numFmtId="0" fontId="16" fillId="0" borderId="89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0" fillId="0" borderId="35" xfId="0" applyBorder="1" applyAlignment="1">
      <alignment horizontal="center" vertical="center" textRotation="90"/>
    </xf>
    <xf numFmtId="0" fontId="1" fillId="0" borderId="99" xfId="0" applyFont="1" applyBorder="1" applyAlignment="1">
      <alignment horizontal="center" vertical="center" textRotation="90"/>
    </xf>
    <xf numFmtId="0" fontId="16" fillId="0" borderId="99" xfId="0" applyFont="1" applyBorder="1" applyAlignment="1">
      <alignment horizontal="center" vertical="center" textRotation="90"/>
    </xf>
    <xf numFmtId="0" fontId="16" fillId="0" borderId="53" xfId="0" applyFont="1" applyBorder="1" applyAlignment="1">
      <alignment horizontal="center" vertical="center" textRotation="90"/>
    </xf>
    <xf numFmtId="0" fontId="0" fillId="0" borderId="9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5" xfId="0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center"/>
    </xf>
    <xf numFmtId="0" fontId="16" fillId="17" borderId="4" xfId="0" applyFont="1" applyFill="1" applyBorder="1" applyAlignment="1">
      <alignment horizontal="center"/>
    </xf>
    <xf numFmtId="0" fontId="16" fillId="17" borderId="5" xfId="0" applyFont="1" applyFill="1" applyBorder="1" applyAlignment="1">
      <alignment horizontal="center"/>
    </xf>
    <xf numFmtId="0" fontId="16" fillId="17" borderId="55" xfId="0" applyFont="1" applyFill="1" applyBorder="1" applyAlignment="1">
      <alignment horizontal="center"/>
    </xf>
    <xf numFmtId="0" fontId="16" fillId="17" borderId="18" xfId="0" applyFont="1" applyFill="1" applyBorder="1" applyAlignment="1">
      <alignment horizontal="center"/>
    </xf>
    <xf numFmtId="0" fontId="16" fillId="17" borderId="58" xfId="0" applyFont="1" applyFill="1" applyBorder="1" applyAlignment="1">
      <alignment horizontal="center"/>
    </xf>
    <xf numFmtId="0" fontId="0" fillId="0" borderId="99" xfId="0" applyBorder="1" applyAlignment="1">
      <alignment horizontal="center"/>
    </xf>
    <xf numFmtId="0" fontId="0" fillId="0" borderId="100" xfId="0" applyBorder="1" applyAlignment="1">
      <alignment horizontal="center"/>
    </xf>
    <xf numFmtId="0" fontId="1" fillId="0" borderId="98" xfId="0" applyFont="1" applyBorder="1" applyAlignment="1">
      <alignment horizontal="left"/>
    </xf>
    <xf numFmtId="0" fontId="0" fillId="0" borderId="100" xfId="0" applyBorder="1" applyAlignment="1">
      <alignment horizontal="left"/>
    </xf>
    <xf numFmtId="0" fontId="0" fillId="0" borderId="83" xfId="0" applyBorder="1" applyAlignment="1">
      <alignment horizontal="center" vertical="center" textRotation="90"/>
    </xf>
    <xf numFmtId="0" fontId="0" fillId="0" borderId="85" xfId="0" applyBorder="1" applyAlignment="1">
      <alignment horizontal="center" vertical="center" textRotation="90"/>
    </xf>
    <xf numFmtId="0" fontId="21" fillId="15" borderId="3" xfId="0" applyFont="1" applyFill="1" applyBorder="1" applyAlignment="1">
      <alignment horizontal="center"/>
    </xf>
    <xf numFmtId="0" fontId="21" fillId="15" borderId="4" xfId="0" applyFont="1" applyFill="1" applyBorder="1" applyAlignment="1">
      <alignment horizontal="center"/>
    </xf>
    <xf numFmtId="0" fontId="21" fillId="15" borderId="5" xfId="0" applyFont="1" applyFill="1" applyBorder="1" applyAlignment="1">
      <alignment horizontal="center"/>
    </xf>
    <xf numFmtId="0" fontId="1" fillId="0" borderId="80" xfId="0" applyFont="1" applyBorder="1" applyAlignment="1">
      <alignment horizontal="left"/>
    </xf>
    <xf numFmtId="0" fontId="1" fillId="0" borderId="81" xfId="0" applyFont="1" applyBorder="1" applyAlignment="1">
      <alignment horizontal="left"/>
    </xf>
    <xf numFmtId="0" fontId="1" fillId="0" borderId="110" xfId="0" applyFont="1" applyBorder="1" applyAlignment="1">
      <alignment horizontal="left"/>
    </xf>
    <xf numFmtId="0" fontId="1" fillId="0" borderId="78" xfId="0" applyFont="1" applyBorder="1" applyAlignment="1">
      <alignment horizontal="left"/>
    </xf>
    <xf numFmtId="0" fontId="37" fillId="0" borderId="120" xfId="0" applyFont="1" applyBorder="1" applyAlignment="1" applyProtection="1">
      <alignment horizontal="center"/>
      <protection hidden="1"/>
    </xf>
    <xf numFmtId="0" fontId="0" fillId="0" borderId="67" xfId="0" applyBorder="1" applyAlignment="1" applyProtection="1">
      <alignment horizontal="center"/>
      <protection hidden="1"/>
    </xf>
    <xf numFmtId="0" fontId="0" fillId="0" borderId="68" xfId="0" applyBorder="1" applyAlignment="1" applyProtection="1">
      <alignment horizontal="center"/>
      <protection hidden="1"/>
    </xf>
    <xf numFmtId="0" fontId="1" fillId="0" borderId="48" xfId="0" applyFont="1" applyBorder="1" applyAlignment="1" applyProtection="1">
      <alignment horizontal="center"/>
      <protection hidden="1"/>
    </xf>
    <xf numFmtId="0" fontId="0" fillId="0" borderId="48" xfId="0" applyBorder="1" applyAlignment="1" applyProtection="1">
      <alignment horizontal="center"/>
      <protection hidden="1"/>
    </xf>
    <xf numFmtId="0" fontId="0" fillId="0" borderId="87" xfId="0" applyBorder="1" applyAlignment="1" applyProtection="1">
      <alignment horizontal="center"/>
      <protection hidden="1"/>
    </xf>
    <xf numFmtId="0" fontId="1" fillId="0" borderId="101" xfId="0" applyFont="1" applyBorder="1" applyAlignment="1" applyProtection="1">
      <alignment horizontal="center"/>
      <protection hidden="1"/>
    </xf>
    <xf numFmtId="0" fontId="0" fillId="0" borderId="76" xfId="0" applyBorder="1" applyAlignment="1" applyProtection="1">
      <alignment horizontal="center"/>
      <protection hidden="1"/>
    </xf>
    <xf numFmtId="0" fontId="37" fillId="0" borderId="67" xfId="0" applyFont="1" applyBorder="1" applyAlignment="1" applyProtection="1">
      <alignment horizontal="center"/>
      <protection hidden="1"/>
    </xf>
    <xf numFmtId="0" fontId="37" fillId="0" borderId="68" xfId="0" applyFont="1" applyBorder="1" applyAlignment="1" applyProtection="1">
      <alignment horizontal="center"/>
      <protection hidden="1"/>
    </xf>
    <xf numFmtId="0" fontId="1" fillId="2" borderId="24" xfId="0" applyFont="1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57" xfId="0" applyFill="1" applyBorder="1" applyAlignment="1">
      <alignment horizontal="left"/>
    </xf>
    <xf numFmtId="0" fontId="1" fillId="2" borderId="73" xfId="0" applyFont="1" applyFill="1" applyBorder="1" applyAlignment="1">
      <alignment horizontal="left"/>
    </xf>
    <xf numFmtId="0" fontId="1" fillId="2" borderId="74" xfId="0" applyFont="1" applyFill="1" applyBorder="1" applyAlignment="1">
      <alignment horizontal="left"/>
    </xf>
    <xf numFmtId="0" fontId="1" fillId="2" borderId="75" xfId="0" applyFont="1" applyFill="1" applyBorder="1" applyAlignment="1">
      <alignment horizontal="left"/>
    </xf>
    <xf numFmtId="0" fontId="21" fillId="2" borderId="64" xfId="0" applyFont="1" applyFill="1" applyBorder="1" applyAlignment="1">
      <alignment horizontal="center"/>
    </xf>
    <xf numFmtId="0" fontId="21" fillId="2" borderId="65" xfId="0" applyFont="1" applyFill="1" applyBorder="1" applyAlignment="1">
      <alignment horizontal="center"/>
    </xf>
    <xf numFmtId="0" fontId="21" fillId="2" borderId="66" xfId="0" applyFont="1" applyFill="1" applyBorder="1" applyAlignment="1">
      <alignment horizontal="center"/>
    </xf>
    <xf numFmtId="0" fontId="1" fillId="2" borderId="89" xfId="0" applyFont="1" applyFill="1" applyBorder="1" applyAlignment="1">
      <alignment horizontal="left"/>
    </xf>
    <xf numFmtId="0" fontId="1" fillId="2" borderId="88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left"/>
    </xf>
    <xf numFmtId="0" fontId="0" fillId="2" borderId="24" xfId="0" applyFill="1" applyBorder="1" applyAlignment="1">
      <alignment horizontal="left"/>
    </xf>
    <xf numFmtId="0" fontId="21" fillId="15" borderId="56" xfId="0" applyFont="1" applyFill="1" applyBorder="1" applyAlignment="1">
      <alignment horizontal="center"/>
    </xf>
    <xf numFmtId="0" fontId="21" fillId="15" borderId="17" xfId="0" applyFont="1" applyFill="1" applyBorder="1" applyAlignment="1">
      <alignment horizontal="center"/>
    </xf>
    <xf numFmtId="0" fontId="21" fillId="15" borderId="57" xfId="0" applyFont="1" applyFill="1" applyBorder="1" applyAlignment="1">
      <alignment horizontal="center"/>
    </xf>
    <xf numFmtId="0" fontId="21" fillId="13" borderId="56" xfId="0" applyFont="1" applyFill="1" applyBorder="1" applyAlignment="1">
      <alignment horizontal="center" vertical="center"/>
    </xf>
    <xf numFmtId="0" fontId="21" fillId="13" borderId="17" xfId="0" applyFont="1" applyFill="1" applyBorder="1" applyAlignment="1">
      <alignment horizontal="center" vertical="center"/>
    </xf>
    <xf numFmtId="0" fontId="21" fillId="13" borderId="57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left"/>
    </xf>
    <xf numFmtId="0" fontId="1" fillId="2" borderId="80" xfId="0" applyFont="1" applyFill="1" applyBorder="1" applyAlignment="1">
      <alignment horizontal="left"/>
    </xf>
    <xf numFmtId="0" fontId="1" fillId="2" borderId="77" xfId="0" applyFont="1" applyFill="1" applyBorder="1" applyAlignment="1">
      <alignment horizontal="left"/>
    </xf>
    <xf numFmtId="0" fontId="1" fillId="2" borderId="78" xfId="0" applyFont="1" applyFill="1" applyBorder="1" applyAlignment="1">
      <alignment horizontal="left"/>
    </xf>
    <xf numFmtId="0" fontId="21" fillId="2" borderId="61" xfId="0" applyFont="1" applyFill="1" applyBorder="1" applyAlignment="1">
      <alignment horizontal="center"/>
    </xf>
    <xf numFmtId="0" fontId="21" fillId="2" borderId="43" xfId="0" applyFont="1" applyFill="1" applyBorder="1" applyAlignment="1">
      <alignment horizontal="center"/>
    </xf>
    <xf numFmtId="0" fontId="21" fillId="2" borderId="6" xfId="0" applyFont="1" applyFill="1" applyBorder="1" applyAlignment="1">
      <alignment horizontal="center"/>
    </xf>
    <xf numFmtId="0" fontId="21" fillId="2" borderId="0" xfId="0" applyFont="1" applyFill="1" applyBorder="1" applyAlignment="1">
      <alignment horizontal="center"/>
    </xf>
    <xf numFmtId="0" fontId="21" fillId="2" borderId="62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59" xfId="0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60" xfId="0" applyFont="1" applyFill="1" applyBorder="1" applyAlignment="1">
      <alignment horizontal="center"/>
    </xf>
    <xf numFmtId="0" fontId="0" fillId="2" borderId="56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1" fillId="7" borderId="56" xfId="0" applyFont="1" applyFill="1" applyBorder="1" applyAlignment="1">
      <alignment horizontal="right"/>
    </xf>
    <xf numFmtId="0" fontId="1" fillId="7" borderId="25" xfId="0" applyFont="1" applyFill="1" applyBorder="1" applyAlignment="1">
      <alignment horizontal="right"/>
    </xf>
    <xf numFmtId="0" fontId="4" fillId="16" borderId="17" xfId="0" applyFont="1" applyFill="1" applyBorder="1" applyAlignment="1">
      <alignment horizontal="center"/>
    </xf>
    <xf numFmtId="0" fontId="21" fillId="0" borderId="24" xfId="0" applyFont="1" applyFill="1" applyBorder="1" applyAlignment="1">
      <alignment horizontal="center"/>
    </xf>
    <xf numFmtId="0" fontId="21" fillId="0" borderId="17" xfId="0" applyFont="1" applyFill="1" applyBorder="1" applyAlignment="1">
      <alignment horizontal="center"/>
    </xf>
    <xf numFmtId="0" fontId="21" fillId="0" borderId="57" xfId="0" applyFont="1" applyFill="1" applyBorder="1" applyAlignment="1">
      <alignment horizontal="center"/>
    </xf>
    <xf numFmtId="0" fontId="21" fillId="0" borderId="56" xfId="0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0" fontId="21" fillId="0" borderId="39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13" borderId="56" xfId="0" applyFont="1" applyFill="1" applyBorder="1" applyAlignment="1">
      <alignment horizontal="center"/>
    </xf>
    <xf numFmtId="0" fontId="21" fillId="13" borderId="17" xfId="0" applyFont="1" applyFill="1" applyBorder="1" applyAlignment="1">
      <alignment horizontal="center"/>
    </xf>
    <xf numFmtId="0" fontId="21" fillId="13" borderId="57" xfId="0" applyFont="1" applyFill="1" applyBorder="1" applyAlignment="1">
      <alignment horizontal="center"/>
    </xf>
    <xf numFmtId="0" fontId="21" fillId="7" borderId="24" xfId="0" applyFont="1" applyFill="1" applyBorder="1" applyAlignment="1">
      <alignment horizontal="left" vertical="center"/>
    </xf>
    <xf numFmtId="0" fontId="21" fillId="7" borderId="17" xfId="0" applyFont="1" applyFill="1" applyBorder="1" applyAlignment="1">
      <alignment horizontal="left" vertical="center"/>
    </xf>
    <xf numFmtId="0" fontId="21" fillId="7" borderId="25" xfId="0" applyFont="1" applyFill="1" applyBorder="1" applyAlignment="1">
      <alignment horizontal="left" vertical="center"/>
    </xf>
    <xf numFmtId="0" fontId="21" fillId="2" borderId="24" xfId="0" applyFont="1" applyFill="1" applyBorder="1" applyAlignment="1">
      <alignment horizontal="center"/>
    </xf>
    <xf numFmtId="0" fontId="21" fillId="2" borderId="17" xfId="0" applyFont="1" applyFill="1" applyBorder="1" applyAlignment="1">
      <alignment horizontal="center"/>
    </xf>
    <xf numFmtId="0" fontId="21" fillId="2" borderId="25" xfId="0" applyFont="1" applyFill="1" applyBorder="1" applyAlignment="1">
      <alignment horizontal="center"/>
    </xf>
    <xf numFmtId="0" fontId="21" fillId="2" borderId="73" xfId="0" applyFont="1" applyFill="1" applyBorder="1" applyAlignment="1">
      <alignment horizontal="center"/>
    </xf>
    <xf numFmtId="0" fontId="21" fillId="2" borderId="74" xfId="0" applyFont="1" applyFill="1" applyBorder="1" applyAlignment="1">
      <alignment horizontal="center"/>
    </xf>
    <xf numFmtId="0" fontId="4" fillId="16" borderId="56" xfId="0" applyFont="1" applyFill="1" applyBorder="1" applyAlignment="1">
      <alignment horizontal="center"/>
    </xf>
    <xf numFmtId="0" fontId="4" fillId="16" borderId="57" xfId="0" applyFont="1" applyFill="1" applyBorder="1" applyAlignment="1">
      <alignment horizontal="center"/>
    </xf>
    <xf numFmtId="0" fontId="21" fillId="2" borderId="61" xfId="0" applyFont="1" applyFill="1" applyBorder="1" applyAlignment="1">
      <alignment horizontal="left" vertical="top"/>
    </xf>
    <xf numFmtId="0" fontId="21" fillId="2" borderId="43" xfId="0" applyFont="1" applyFill="1" applyBorder="1" applyAlignment="1">
      <alignment horizontal="left" vertical="top"/>
    </xf>
    <xf numFmtId="0" fontId="21" fillId="2" borderId="45" xfId="0" applyFont="1" applyFill="1" applyBorder="1" applyAlignment="1">
      <alignment horizontal="left" vertical="top"/>
    </xf>
    <xf numFmtId="0" fontId="21" fillId="2" borderId="6" xfId="0" applyFont="1" applyFill="1" applyBorder="1" applyAlignment="1">
      <alignment horizontal="left" vertical="top"/>
    </xf>
    <xf numFmtId="0" fontId="21" fillId="2" borderId="0" xfId="0" applyFont="1" applyFill="1" applyBorder="1" applyAlignment="1">
      <alignment horizontal="left" vertical="top"/>
    </xf>
    <xf numFmtId="0" fontId="21" fillId="2" borderId="47" xfId="0" applyFont="1" applyFill="1" applyBorder="1" applyAlignment="1">
      <alignment horizontal="left" vertical="top"/>
    </xf>
    <xf numFmtId="0" fontId="21" fillId="2" borderId="8" xfId="0" applyFont="1" applyFill="1" applyBorder="1" applyAlignment="1">
      <alignment horizontal="left" vertical="top"/>
    </xf>
    <xf numFmtId="0" fontId="21" fillId="2" borderId="9" xfId="0" applyFont="1" applyFill="1" applyBorder="1" applyAlignment="1">
      <alignment horizontal="left" vertical="top"/>
    </xf>
    <xf numFmtId="0" fontId="21" fillId="2" borderId="40" xfId="0" applyFont="1" applyFill="1" applyBorder="1" applyAlignment="1">
      <alignment horizontal="left" vertical="top"/>
    </xf>
    <xf numFmtId="0" fontId="21" fillId="7" borderId="24" xfId="0" applyFont="1" applyFill="1" applyBorder="1" applyAlignment="1">
      <alignment horizontal="center"/>
    </xf>
    <xf numFmtId="0" fontId="21" fillId="7" borderId="57" xfId="0" applyFont="1" applyFill="1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25" xfId="0" applyFill="1" applyBorder="1" applyAlignment="1">
      <alignment horizontal="center" wrapText="1"/>
    </xf>
    <xf numFmtId="0" fontId="0" fillId="2" borderId="73" xfId="0" applyFill="1" applyBorder="1" applyAlignment="1">
      <alignment horizontal="center"/>
    </xf>
    <xf numFmtId="0" fontId="0" fillId="2" borderId="7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40" fillId="2" borderId="24" xfId="0" applyFont="1" applyFill="1" applyBorder="1" applyAlignment="1">
      <alignment horizontal="center" vertical="center"/>
    </xf>
    <xf numFmtId="0" fontId="40" fillId="2" borderId="17" xfId="0" applyFont="1" applyFill="1" applyBorder="1" applyAlignment="1">
      <alignment horizontal="center" vertical="center"/>
    </xf>
    <xf numFmtId="0" fontId="40" fillId="2" borderId="25" xfId="0" applyFont="1" applyFill="1" applyBorder="1" applyAlignment="1">
      <alignment horizontal="center" vertical="center"/>
    </xf>
    <xf numFmtId="0" fontId="0" fillId="2" borderId="61" xfId="0" applyFill="1" applyBorder="1" applyAlignment="1">
      <alignment horizontal="right" wrapText="1"/>
    </xf>
    <xf numFmtId="0" fontId="0" fillId="2" borderId="43" xfId="0" applyFill="1" applyBorder="1" applyAlignment="1">
      <alignment horizontal="right" wrapText="1"/>
    </xf>
    <xf numFmtId="0" fontId="0" fillId="2" borderId="45" xfId="0" applyFill="1" applyBorder="1" applyAlignment="1">
      <alignment horizontal="right" wrapText="1"/>
    </xf>
    <xf numFmtId="0" fontId="1" fillId="2" borderId="6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0" fillId="2" borderId="20" xfId="0" applyFill="1" applyBorder="1" applyAlignment="1">
      <alignment horizontal="right" wrapText="1"/>
    </xf>
    <xf numFmtId="0" fontId="0" fillId="2" borderId="2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38" xfId="0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40" fillId="2" borderId="44" xfId="0" applyFont="1" applyFill="1" applyBorder="1" applyAlignment="1">
      <alignment horizontal="center" vertical="center"/>
    </xf>
    <xf numFmtId="0" fontId="40" fillId="2" borderId="43" xfId="0" applyFont="1" applyFill="1" applyBorder="1" applyAlignment="1">
      <alignment horizontal="center" vertical="center"/>
    </xf>
    <xf numFmtId="0" fontId="40" fillId="2" borderId="45" xfId="0" applyFont="1" applyFill="1" applyBorder="1" applyAlignment="1">
      <alignment horizontal="center" vertical="center"/>
    </xf>
    <xf numFmtId="0" fontId="40" fillId="2" borderId="19" xfId="0" applyFont="1" applyFill="1" applyBorder="1" applyAlignment="1">
      <alignment horizontal="center" vertical="center"/>
    </xf>
    <xf numFmtId="0" fontId="40" fillId="2" borderId="2" xfId="0" applyFont="1" applyFill="1" applyBorder="1" applyAlignment="1">
      <alignment horizontal="center" vertical="center"/>
    </xf>
    <xf numFmtId="0" fontId="40" fillId="2" borderId="20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1" fillId="7" borderId="74" xfId="0" applyFont="1" applyFill="1" applyBorder="1" applyAlignment="1">
      <alignment horizontal="left"/>
    </xf>
    <xf numFmtId="0" fontId="21" fillId="7" borderId="75" xfId="0" applyFont="1" applyFill="1" applyBorder="1" applyAlignment="1">
      <alignment horizontal="left"/>
    </xf>
    <xf numFmtId="0" fontId="40" fillId="2" borderId="5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" fillId="2" borderId="56" xfId="0" applyFont="1" applyFill="1" applyBorder="1" applyAlignment="1">
      <alignment horizontal="left"/>
    </xf>
    <xf numFmtId="0" fontId="0" fillId="2" borderId="25" xfId="0" applyFill="1" applyBorder="1" applyAlignment="1">
      <alignment horizontal="left"/>
    </xf>
    <xf numFmtId="0" fontId="0" fillId="2" borderId="74" xfId="0" applyFill="1" applyBorder="1" applyAlignment="1">
      <alignment horizontal="left"/>
    </xf>
    <xf numFmtId="0" fontId="0" fillId="2" borderId="73" xfId="0" applyFill="1" applyBorder="1" applyAlignment="1">
      <alignment horizontal="left"/>
    </xf>
    <xf numFmtId="0" fontId="0" fillId="2" borderId="74" xfId="0" applyFill="1" applyBorder="1" applyAlignment="1">
      <alignment horizontal="right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9" fillId="2" borderId="2" xfId="5" applyFont="1" applyFill="1" applyBorder="1" applyAlignment="1">
      <alignment horizontal="center" vertical="center"/>
    </xf>
    <xf numFmtId="0" fontId="21" fillId="7" borderId="56" xfId="0" applyFont="1" applyFill="1" applyBorder="1" applyAlignment="1">
      <alignment horizontal="left"/>
    </xf>
    <xf numFmtId="0" fontId="21" fillId="7" borderId="17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57" xfId="0" applyBorder="1" applyAlignment="1">
      <alignment horizontal="center"/>
    </xf>
    <xf numFmtId="0" fontId="21" fillId="7" borderId="17" xfId="0" applyFont="1" applyFill="1" applyBorder="1" applyAlignment="1">
      <alignment horizontal="center"/>
    </xf>
    <xf numFmtId="0" fontId="0" fillId="2" borderId="80" xfId="0" applyFill="1" applyBorder="1" applyAlignment="1">
      <alignment horizontal="center" wrapText="1"/>
    </xf>
    <xf numFmtId="0" fontId="40" fillId="2" borderId="24" xfId="0" applyFont="1" applyFill="1" applyBorder="1" applyAlignment="1">
      <alignment horizontal="left" vertical="center"/>
    </xf>
    <xf numFmtId="0" fontId="40" fillId="2" borderId="17" xfId="0" applyFont="1" applyFill="1" applyBorder="1" applyAlignment="1">
      <alignment horizontal="left" vertical="center"/>
    </xf>
    <xf numFmtId="0" fontId="40" fillId="2" borderId="25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/>
    </xf>
    <xf numFmtId="0" fontId="21" fillId="0" borderId="95" xfId="0" applyFont="1" applyFill="1" applyBorder="1" applyAlignment="1">
      <alignment horizontal="center" vertical="center"/>
    </xf>
    <xf numFmtId="0" fontId="21" fillId="0" borderId="94" xfId="0" applyFont="1" applyFill="1" applyBorder="1" applyAlignment="1">
      <alignment horizontal="center" vertical="center"/>
    </xf>
  </cellXfs>
  <cellStyles count="6">
    <cellStyle name="Hiperlink" xfId="5" builtinId="8"/>
    <cellStyle name="Moeda" xfId="1" builtinId="4"/>
    <cellStyle name="Normal" xfId="0" builtinId="0"/>
    <cellStyle name="Normal 2" xfId="2"/>
    <cellStyle name="Separador de milhares 2" xfId="3"/>
    <cellStyle name="Total" xfId="4" builtinId="25" customBuiltin="1"/>
  </cellStyles>
  <dxfs count="376"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330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>
          <bgColor theme="6" tint="0.39994506668294322"/>
        </patternFill>
      </fill>
    </dxf>
    <dxf>
      <fill>
        <patternFill patternType="lightUp">
          <bgColor theme="2" tint="-0.49998474074526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solid">
          <fgColor auto="1"/>
          <bgColor theme="2" tint="-9.9917600024414813E-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 patternType="lightUp">
          <bgColor rgb="FFFFFF00"/>
        </patternFill>
      </fill>
      <border>
        <top style="thin">
          <color auto="1"/>
        </top>
        <bottom style="thin">
          <color auto="1"/>
        </bottom>
      </border>
    </dxf>
    <dxf>
      <fill>
        <patternFill patternType="solid">
          <bgColor theme="6" tint="0.39988402966399123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"S"'!$D$1:$T$1</c:f>
              <c:numCache>
                <c:formatCode>0.00%</c:formatCode>
                <c:ptCount val="17"/>
                <c:pt idx="0">
                  <c:v>0</c:v>
                </c:pt>
                <c:pt idx="1">
                  <c:v>5.6409519797061158E-2</c:v>
                </c:pt>
                <c:pt idx="2">
                  <c:v>6.5269215498141867E-2</c:v>
                </c:pt>
                <c:pt idx="3">
                  <c:v>7.9442451145900525E-2</c:v>
                </c:pt>
                <c:pt idx="4">
                  <c:v>0.12428508716338717</c:v>
                </c:pt>
                <c:pt idx="5">
                  <c:v>0.26803209023392793</c:v>
                </c:pt>
                <c:pt idx="6">
                  <c:v>0.41642964219395595</c:v>
                </c:pt>
                <c:pt idx="7">
                  <c:v>0.58191188913750747</c:v>
                </c:pt>
                <c:pt idx="8">
                  <c:v>0.73030944109753548</c:v>
                </c:pt>
                <c:pt idx="9">
                  <c:v>0.7838963324812489</c:v>
                </c:pt>
                <c:pt idx="10">
                  <c:v>0.83748322386496232</c:v>
                </c:pt>
                <c:pt idx="11">
                  <c:v>0.89102508106049261</c:v>
                </c:pt>
                <c:pt idx="12">
                  <c:v>0.97104821548048437</c:v>
                </c:pt>
                <c:pt idx="13">
                  <c:v>0.98020571984957583</c:v>
                </c:pt>
                <c:pt idx="14">
                  <c:v>0.98893765999816863</c:v>
                </c:pt>
                <c:pt idx="15">
                  <c:v>0.99446882999908437</c:v>
                </c:pt>
                <c:pt idx="16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A7-43EE-95DB-25541840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26624"/>
        <c:axId val="327135616"/>
      </c:lineChart>
      <c:catAx>
        <c:axId val="326826624"/>
        <c:scaling>
          <c:orientation val="minMax"/>
        </c:scaling>
        <c:delete val="0"/>
        <c:axPos val="b"/>
        <c:majorGridlines/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7135616"/>
        <c:crosses val="autoZero"/>
        <c:auto val="1"/>
        <c:lblAlgn val="ctr"/>
        <c:lblOffset val="100"/>
        <c:tickMarkSkip val="1"/>
        <c:noMultiLvlLbl val="0"/>
      </c:catAx>
      <c:valAx>
        <c:axId val="327135616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26826624"/>
        <c:crosses val="autoZero"/>
        <c:crossBetween val="midCat"/>
        <c:majorUnit val="0.1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90759137724439"/>
          <c:y val="0.50289017341040465"/>
          <c:w val="7.2011199880893217E-2"/>
          <c:h val="4.351271120011734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639309065949135E-2"/>
          <c:y val="0.13294822703709627"/>
          <c:w val="0.77528184408386502"/>
          <c:h val="0.78034828913078247"/>
        </c:manualLayout>
      </c:layout>
      <c:lineChart>
        <c:grouping val="standard"/>
        <c:varyColors val="0"/>
        <c:ser>
          <c:idx val="0"/>
          <c:order val="1"/>
          <c:val>
            <c:numRef>
              <c:f>'FÍSICO x FINANCEIRO'!$I$45:$X$45</c:f>
              <c:numCache>
                <c:formatCode>"R$"\ #,##0.00</c:formatCode>
                <c:ptCount val="16"/>
                <c:pt idx="0">
                  <c:v>132070.29999999999</c:v>
                </c:pt>
                <c:pt idx="1">
                  <c:v>20743</c:v>
                </c:pt>
                <c:pt idx="2">
                  <c:v>33183.467803030304</c:v>
                </c:pt>
                <c:pt idx="3">
                  <c:v>104989.02335858587</c:v>
                </c:pt>
                <c:pt idx="4">
                  <c:v>336551.5233585859</c:v>
                </c:pt>
                <c:pt idx="5">
                  <c:v>347439.74558080808</c:v>
                </c:pt>
                <c:pt idx="6">
                  <c:v>387439.74558080808</c:v>
                </c:pt>
                <c:pt idx="7">
                  <c:v>347439.74558080808</c:v>
                </c:pt>
                <c:pt idx="8">
                  <c:v>125461.74558080808</c:v>
                </c:pt>
                <c:pt idx="9">
                  <c:v>125461.74558080808</c:v>
                </c:pt>
                <c:pt idx="10">
                  <c:v>125356.30808080808</c:v>
                </c:pt>
                <c:pt idx="11">
                  <c:v>187356.30808080808</c:v>
                </c:pt>
                <c:pt idx="12">
                  <c:v>21440.252525252523</c:v>
                </c:pt>
                <c:pt idx="13">
                  <c:v>20443.888888888891</c:v>
                </c:pt>
                <c:pt idx="14">
                  <c:v>12950</c:v>
                </c:pt>
                <c:pt idx="15">
                  <c:v>12950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029376"/>
        <c:axId val="339025920"/>
      </c:lineChart>
      <c:lineChart>
        <c:grouping val="standard"/>
        <c:varyColors val="0"/>
        <c:ser>
          <c:idx val="1"/>
          <c:order val="0"/>
          <c:spPr>
            <a:ln w="38100">
              <a:solidFill>
                <a:srgbClr val="00000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FF00FF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3616733515659477E-3"/>
                  <c:y val="-3.06010946517559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853-47FE-9A81-53F15F4FB2C2}"/>
                </c:ext>
              </c:extLst>
            </c:dLbl>
            <c:dLbl>
              <c:idx val="2"/>
              <c:layout>
                <c:manualLayout>
                  <c:x val="-5.1956813734450824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853-47FE-9A81-53F15F4FB2C2}"/>
                </c:ext>
              </c:extLst>
            </c:dLbl>
            <c:dLbl>
              <c:idx val="5"/>
              <c:layout>
                <c:manualLayout>
                  <c:x val="-0.10155195411733574"/>
                  <c:y val="1.52985034906634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7853-47FE-9A81-53F15F4FB2C2}"/>
                </c:ext>
              </c:extLst>
            </c:dLbl>
            <c:dLbl>
              <c:idx val="6"/>
              <c:layout>
                <c:manualLayout>
                  <c:x val="-1.7712550136744606E-2"/>
                  <c:y val="4.5923227699231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853-47FE-9A81-53F15F4FB2C2}"/>
                </c:ext>
              </c:extLst>
            </c:dLbl>
            <c:dLbl>
              <c:idx val="7"/>
              <c:layout>
                <c:manualLayout>
                  <c:x val="-4.7233467031318949E-2"/>
                  <c:y val="-4.590164197763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7853-47FE-9A81-53F15F4FB2C2}"/>
                </c:ext>
              </c:extLst>
            </c:dLbl>
            <c:dLbl>
              <c:idx val="9"/>
              <c:layout>
                <c:manualLayout>
                  <c:x val="-7.3211873898544375E-2"/>
                  <c:y val="3.82513683146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853-47FE-9A81-53F15F4FB2C2}"/>
                </c:ext>
              </c:extLst>
            </c:dLbl>
            <c:dLbl>
              <c:idx val="10"/>
              <c:layout>
                <c:manualLayout>
                  <c:x val="-4.95951403828849E-2"/>
                  <c:y val="-4.590164197763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7853-47FE-9A81-53F15F4FB2C2}"/>
                </c:ext>
              </c:extLst>
            </c:dLbl>
            <c:dLbl>
              <c:idx val="11"/>
              <c:layout>
                <c:manualLayout>
                  <c:x val="-2.3616733515659388E-2"/>
                  <c:y val="4.080145953567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853-47FE-9A81-53F15F4FB2C2}"/>
                </c:ext>
              </c:extLst>
            </c:dLbl>
            <c:dLbl>
              <c:idx val="13"/>
              <c:layout>
                <c:manualLayout>
                  <c:x val="-9.0924424035288984E-2"/>
                  <c:y val="2.550091220979660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7853-47FE-9A81-53F15F4FB2C2}"/>
                </c:ext>
              </c:extLst>
            </c:dLbl>
            <c:dLbl>
              <c:idx val="14"/>
              <c:layout>
                <c:manualLayout>
                  <c:x val="-1.7712550136744606E-2"/>
                  <c:y val="-0.11475410494408474"/>
                </c:manualLayout>
              </c:layout>
              <c:numFmt formatCode="\R\$\ #,##0.00" sourceLinked="0"/>
              <c:spPr/>
              <c:txPr>
                <a:bodyPr rot="-5400000" vert="horz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853-47FE-9A81-53F15F4FB2C2}"/>
                </c:ext>
              </c:extLst>
            </c:dLbl>
            <c:dLbl>
              <c:idx val="15"/>
              <c:layout>
                <c:manualLayout>
                  <c:x val="-1.5350876785178659E-2"/>
                  <c:y val="-0.11220616475320722"/>
                </c:manualLayout>
              </c:layout>
              <c:numFmt formatCode="\R\$\ #,##0.00" sourceLinked="0"/>
              <c:spPr/>
              <c:txPr>
                <a:bodyPr rot="-5400000" anchor="t" anchorCtr="1"/>
                <a:lstStyle/>
                <a:p>
                  <a:pPr>
                    <a:defRPr/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7853-47FE-9A81-53F15F4FB2C2}"/>
                </c:ext>
              </c:extLst>
            </c:dLbl>
            <c:dLbl>
              <c:idx val="16"/>
              <c:layout>
                <c:manualLayout>
                  <c:x val="-2.0074223488310554E-2"/>
                  <c:y val="-0.13009040435618405"/>
                </c:manualLayout>
              </c:layout>
              <c:tx>
                <c:rich>
                  <a:bodyPr rot="-5400000" vert="horz" anchor="t" anchorCtr="1"/>
                  <a:lstStyle/>
                  <a:p>
                    <a:pPr>
                      <a:defRPr/>
                    </a:pPr>
                    <a:r>
                      <a:rPr lang="en-US"/>
                      <a:t>R$ 12.950,00</a:t>
                    </a:r>
                  </a:p>
                </c:rich>
              </c:tx>
              <c:numFmt formatCode="\R\$\ #,##0.00" sourceLinked="0"/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853-47FE-9A81-53F15F4FB2C2}"/>
                </c:ext>
              </c:extLst>
            </c:dLbl>
            <c:numFmt formatCode="\R\$\ #,##0.00" sourceLinked="0"/>
            <c:spPr>
              <a:noFill/>
              <a:ln>
                <a:noFill/>
              </a:ln>
              <a:effectLst/>
            </c:spPr>
            <c:txPr>
              <a:bodyPr rot="0" anchor="t" anchorCtr="1"/>
              <a:lstStyle/>
              <a:p>
                <a:pPr>
                  <a:defRPr/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'CURVA "V"'!$C$1:$S$1</c:f>
              <c:numCache>
                <c:formatCode>0.00%</c:formatCode>
                <c:ptCount val="17"/>
                <c:pt idx="0" formatCode="&quot;R$&quot;\ #,##0.00">
                  <c:v>0</c:v>
                </c:pt>
                <c:pt idx="1">
                  <c:v>132070.29999999999</c:v>
                </c:pt>
                <c:pt idx="2">
                  <c:v>20743</c:v>
                </c:pt>
                <c:pt idx="3">
                  <c:v>33183.467803030304</c:v>
                </c:pt>
                <c:pt idx="4">
                  <c:v>104989.02335858587</c:v>
                </c:pt>
                <c:pt idx="5">
                  <c:v>336551.5233585859</c:v>
                </c:pt>
                <c:pt idx="6">
                  <c:v>347439.74558080808</c:v>
                </c:pt>
                <c:pt idx="7">
                  <c:v>387439.74558080808</c:v>
                </c:pt>
                <c:pt idx="8">
                  <c:v>347439.74558080808</c:v>
                </c:pt>
                <c:pt idx="9">
                  <c:v>125461.74558080808</c:v>
                </c:pt>
                <c:pt idx="10">
                  <c:v>125461.74558080808</c:v>
                </c:pt>
                <c:pt idx="11">
                  <c:v>125356.30808080808</c:v>
                </c:pt>
                <c:pt idx="12">
                  <c:v>187356.30808080808</c:v>
                </c:pt>
                <c:pt idx="13">
                  <c:v>21440.252525252523</c:v>
                </c:pt>
                <c:pt idx="14">
                  <c:v>20443.888888888891</c:v>
                </c:pt>
                <c:pt idx="15">
                  <c:v>12950</c:v>
                </c:pt>
                <c:pt idx="1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7853-47FE-9A81-53F15F4FB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27456"/>
        <c:axId val="339028992"/>
      </c:lineChart>
      <c:catAx>
        <c:axId val="337029376"/>
        <c:scaling>
          <c:orientation val="minMax"/>
        </c:scaling>
        <c:delete val="0"/>
        <c:axPos val="b"/>
        <c:majorGridlines>
          <c:spPr>
            <a:ln w="9525">
              <a:solidFill>
                <a:srgbClr val="00B050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39025920"/>
        <c:crosses val="autoZero"/>
        <c:auto val="1"/>
        <c:lblAlgn val="ctr"/>
        <c:lblOffset val="100"/>
        <c:tickMarkSkip val="1"/>
        <c:noMultiLvlLbl val="0"/>
      </c:catAx>
      <c:valAx>
        <c:axId val="339025920"/>
        <c:scaling>
          <c:orientation val="minMax"/>
          <c:max val="1.1000000000000001"/>
          <c:min val="0.8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numFmt formatCode="d/m;@" sourceLinked="0"/>
        <c:majorTickMark val="cross"/>
        <c:minorTickMark val="none"/>
        <c:tickLblPos val="nextTo"/>
        <c:spPr>
          <a:noFill/>
          <a:ln>
            <a:noFill/>
          </a:ln>
        </c:spPr>
        <c:txPr>
          <a:bodyPr rot="0" vert="horz"/>
          <a:lstStyle/>
          <a:p>
            <a:pPr>
              <a:defRPr/>
            </a:pPr>
            <a:endParaRPr lang="pt-BR"/>
          </a:p>
        </c:txPr>
        <c:crossAx val="337029376"/>
        <c:crosses val="autoZero"/>
        <c:crossBetween val="midCat"/>
        <c:majorUnit val="1"/>
      </c:valAx>
      <c:catAx>
        <c:axId val="33902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339028992"/>
        <c:crosses val="autoZero"/>
        <c:auto val="1"/>
        <c:lblAlgn val="ctr"/>
        <c:lblOffset val="100"/>
        <c:noMultiLvlLbl val="0"/>
      </c:catAx>
      <c:valAx>
        <c:axId val="339028992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crossAx val="339027456"/>
        <c:crosses val="max"/>
        <c:crossBetween val="midCat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40689834265411"/>
          <c:y val="0.91090477852118201"/>
          <c:w val="6.9551301670330079E-2"/>
          <c:h val="8.7025624687087522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Scroll" dx="16" fmlaLink="$I$4" horiz="1" max="365" page="10" val="0"/>
</file>

<file path=xl/ctrlProps/ctrlProp2.xml><?xml version="1.0" encoding="utf-8"?>
<formControlPr xmlns="http://schemas.microsoft.com/office/spreadsheetml/2009/9/main" objectType="Scroll" dx="16" fmlaLink="$J$6" horiz="1" max="365" page="10" val="56"/>
</file>

<file path=xl/ctrlProps/ctrlProp3.xml><?xml version="1.0" encoding="utf-8"?>
<formControlPr xmlns="http://schemas.microsoft.com/office/spreadsheetml/2009/9/main" objectType="Scroll" dx="16" fmlaLink="$K$6" horiz="1" max="365" page="10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1171575</xdr:colOff>
          <xdr:row>2</xdr:row>
          <xdr:rowOff>161925</xdr:rowOff>
        </xdr:from>
        <xdr:to>
          <xdr:col>43</xdr:col>
          <xdr:colOff>209550</xdr:colOff>
          <xdr:row>3</xdr:row>
          <xdr:rowOff>161925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5</xdr:row>
      <xdr:rowOff>104775</xdr:rowOff>
    </xdr:from>
    <xdr:to>
      <xdr:col>13</xdr:col>
      <xdr:colOff>342900</xdr:colOff>
      <xdr:row>36</xdr:row>
      <xdr:rowOff>9525</xdr:rowOff>
    </xdr:to>
    <xdr:graphicFrame macro="">
      <xdr:nvGraphicFramePr>
        <xdr:cNvPr id="32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95250</xdr:rowOff>
    </xdr:from>
    <xdr:to>
      <xdr:col>13</xdr:col>
      <xdr:colOff>352425</xdr:colOff>
      <xdr:row>35</xdr:row>
      <xdr:rowOff>161925</xdr:rowOff>
    </xdr:to>
    <xdr:graphicFrame macro="">
      <xdr:nvGraphicFramePr>
        <xdr:cNvPr id="15158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44</xdr:col>
          <xdr:colOff>9525</xdr:colOff>
          <xdr:row>2</xdr:row>
          <xdr:rowOff>152400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590550</xdr:colOff>
          <xdr:row>4</xdr:row>
          <xdr:rowOff>0</xdr:rowOff>
        </xdr:from>
        <xdr:to>
          <xdr:col>57</xdr:col>
          <xdr:colOff>9525</xdr:colOff>
          <xdr:row>5</xdr:row>
          <xdr:rowOff>19050</xdr:rowOff>
        </xdr:to>
        <xdr:sp macro="" textlink="">
          <xdr:nvSpPr>
            <xdr:cNvPr id="17412" name="Scroll Bar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342900</xdr:colOff>
      <xdr:row>55</xdr:row>
      <xdr:rowOff>28575</xdr:rowOff>
    </xdr:from>
    <xdr:to>
      <xdr:col>4</xdr:col>
      <xdr:colOff>249363</xdr:colOff>
      <xdr:row>56</xdr:row>
      <xdr:rowOff>32167</xdr:rowOff>
    </xdr:to>
    <xdr:pic>
      <xdr:nvPicPr>
        <xdr:cNvPr id="6" name="Imagem 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285749</xdr:colOff>
      <xdr:row>55</xdr:row>
      <xdr:rowOff>9525</xdr:rowOff>
    </xdr:from>
    <xdr:to>
      <xdr:col>6</xdr:col>
      <xdr:colOff>752474</xdr:colOff>
      <xdr:row>55</xdr:row>
      <xdr:rowOff>295275</xdr:rowOff>
    </xdr:to>
    <xdr:pic>
      <xdr:nvPicPr>
        <xdr:cNvPr id="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238125</xdr:colOff>
      <xdr:row>55</xdr:row>
      <xdr:rowOff>19050</xdr:rowOff>
    </xdr:from>
    <xdr:to>
      <xdr:col>9</xdr:col>
      <xdr:colOff>604189</xdr:colOff>
      <xdr:row>56</xdr:row>
      <xdr:rowOff>14430</xdr:rowOff>
    </xdr:to>
    <xdr:pic>
      <xdr:nvPicPr>
        <xdr:cNvPr id="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714875" y="10220325"/>
          <a:ext cx="366064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1000125</xdr:colOff>
      <xdr:row>55</xdr:row>
      <xdr:rowOff>9525</xdr:rowOff>
    </xdr:from>
    <xdr:to>
      <xdr:col>10</xdr:col>
      <xdr:colOff>1372986</xdr:colOff>
      <xdr:row>56</xdr:row>
      <xdr:rowOff>4905</xdr:rowOff>
    </xdr:to>
    <xdr:pic>
      <xdr:nvPicPr>
        <xdr:cNvPr id="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210300" y="10210800"/>
          <a:ext cx="372861" cy="366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342900</xdr:colOff>
      <xdr:row>141</xdr:row>
      <xdr:rowOff>28575</xdr:rowOff>
    </xdr:from>
    <xdr:ext cx="354138" cy="327442"/>
    <xdr:pic>
      <xdr:nvPicPr>
        <xdr:cNvPr id="10" name="Imagem 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033462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141</xdr:row>
      <xdr:rowOff>9525</xdr:rowOff>
    </xdr:from>
    <xdr:ext cx="466725" cy="285750"/>
    <xdr:pic>
      <xdr:nvPicPr>
        <xdr:cNvPr id="1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031557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141</xdr:row>
      <xdr:rowOff>19050</xdr:rowOff>
    </xdr:from>
    <xdr:ext cx="366064" cy="319230"/>
    <xdr:pic>
      <xdr:nvPicPr>
        <xdr:cNvPr id="1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032510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141</xdr:row>
      <xdr:rowOff>9525</xdr:rowOff>
    </xdr:from>
    <xdr:ext cx="372861" cy="319230"/>
    <xdr:pic>
      <xdr:nvPicPr>
        <xdr:cNvPr id="1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031557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225</xdr:row>
      <xdr:rowOff>28575</xdr:rowOff>
    </xdr:from>
    <xdr:ext cx="354138" cy="327442"/>
    <xdr:pic>
      <xdr:nvPicPr>
        <xdr:cNvPr id="14" name="Imagem 1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8773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225</xdr:row>
      <xdr:rowOff>9525</xdr:rowOff>
    </xdr:from>
    <xdr:ext cx="466725" cy="285750"/>
    <xdr:pic>
      <xdr:nvPicPr>
        <xdr:cNvPr id="1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8582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225</xdr:row>
      <xdr:rowOff>19050</xdr:rowOff>
    </xdr:from>
    <xdr:ext cx="366064" cy="319230"/>
    <xdr:pic>
      <xdr:nvPicPr>
        <xdr:cNvPr id="1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8677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225</xdr:row>
      <xdr:rowOff>9525</xdr:rowOff>
    </xdr:from>
    <xdr:ext cx="372861" cy="319230"/>
    <xdr:pic>
      <xdr:nvPicPr>
        <xdr:cNvPr id="1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8582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313</xdr:row>
      <xdr:rowOff>28575</xdr:rowOff>
    </xdr:from>
    <xdr:ext cx="354138" cy="327442"/>
    <xdr:pic>
      <xdr:nvPicPr>
        <xdr:cNvPr id="18" name="Imagem 1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3762375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313</xdr:row>
      <xdr:rowOff>9525</xdr:rowOff>
    </xdr:from>
    <xdr:ext cx="466725" cy="285750"/>
    <xdr:pic>
      <xdr:nvPicPr>
        <xdr:cNvPr id="1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3760470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313</xdr:row>
      <xdr:rowOff>19050</xdr:rowOff>
    </xdr:from>
    <xdr:ext cx="366064" cy="319230"/>
    <xdr:pic>
      <xdr:nvPicPr>
        <xdr:cNvPr id="2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3761422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313</xdr:row>
      <xdr:rowOff>9525</xdr:rowOff>
    </xdr:from>
    <xdr:ext cx="372861" cy="319230"/>
    <xdr:pic>
      <xdr:nvPicPr>
        <xdr:cNvPr id="2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3760470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401</xdr:row>
      <xdr:rowOff>28575</xdr:rowOff>
    </xdr:from>
    <xdr:ext cx="354138" cy="327442"/>
    <xdr:pic>
      <xdr:nvPicPr>
        <xdr:cNvPr id="22" name="Imagem 2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521874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401</xdr:row>
      <xdr:rowOff>9525</xdr:rowOff>
    </xdr:from>
    <xdr:ext cx="466725" cy="285750"/>
    <xdr:pic>
      <xdr:nvPicPr>
        <xdr:cNvPr id="2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521684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401</xdr:row>
      <xdr:rowOff>19050</xdr:rowOff>
    </xdr:from>
    <xdr:ext cx="366064" cy="319230"/>
    <xdr:pic>
      <xdr:nvPicPr>
        <xdr:cNvPr id="2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521779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401</xdr:row>
      <xdr:rowOff>9525</xdr:rowOff>
    </xdr:from>
    <xdr:ext cx="372861" cy="319230"/>
    <xdr:pic>
      <xdr:nvPicPr>
        <xdr:cNvPr id="2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521684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490</xdr:row>
      <xdr:rowOff>28575</xdr:rowOff>
    </xdr:from>
    <xdr:ext cx="354138" cy="327442"/>
    <xdr:pic>
      <xdr:nvPicPr>
        <xdr:cNvPr id="26" name="Imagem 2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678561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490</xdr:row>
      <xdr:rowOff>9525</xdr:rowOff>
    </xdr:from>
    <xdr:ext cx="466725" cy="285750"/>
    <xdr:pic>
      <xdr:nvPicPr>
        <xdr:cNvPr id="2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678370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490</xdr:row>
      <xdr:rowOff>19050</xdr:rowOff>
    </xdr:from>
    <xdr:ext cx="366064" cy="319230"/>
    <xdr:pic>
      <xdr:nvPicPr>
        <xdr:cNvPr id="2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678465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490</xdr:row>
      <xdr:rowOff>9525</xdr:rowOff>
    </xdr:from>
    <xdr:ext cx="372861" cy="319230"/>
    <xdr:pic>
      <xdr:nvPicPr>
        <xdr:cNvPr id="2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678370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581</xdr:row>
      <xdr:rowOff>28575</xdr:rowOff>
    </xdr:from>
    <xdr:ext cx="354138" cy="327442"/>
    <xdr:pic>
      <xdr:nvPicPr>
        <xdr:cNvPr id="30" name="Imagem 29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832008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581</xdr:row>
      <xdr:rowOff>9525</xdr:rowOff>
    </xdr:from>
    <xdr:ext cx="466725" cy="285750"/>
    <xdr:pic>
      <xdr:nvPicPr>
        <xdr:cNvPr id="31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831818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581</xdr:row>
      <xdr:rowOff>19050</xdr:rowOff>
    </xdr:from>
    <xdr:ext cx="366064" cy="319230"/>
    <xdr:pic>
      <xdr:nvPicPr>
        <xdr:cNvPr id="32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831913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581</xdr:row>
      <xdr:rowOff>9525</xdr:rowOff>
    </xdr:from>
    <xdr:ext cx="372861" cy="319230"/>
    <xdr:pic>
      <xdr:nvPicPr>
        <xdr:cNvPr id="33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831818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677</xdr:row>
      <xdr:rowOff>28575</xdr:rowOff>
    </xdr:from>
    <xdr:ext cx="354138" cy="327442"/>
    <xdr:pic>
      <xdr:nvPicPr>
        <xdr:cNvPr id="34" name="Imagem 33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982218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677</xdr:row>
      <xdr:rowOff>9525</xdr:rowOff>
    </xdr:from>
    <xdr:ext cx="466725" cy="285750"/>
    <xdr:pic>
      <xdr:nvPicPr>
        <xdr:cNvPr id="35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982027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677</xdr:row>
      <xdr:rowOff>19050</xdr:rowOff>
    </xdr:from>
    <xdr:ext cx="366064" cy="319230"/>
    <xdr:pic>
      <xdr:nvPicPr>
        <xdr:cNvPr id="36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982122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677</xdr:row>
      <xdr:rowOff>9525</xdr:rowOff>
    </xdr:from>
    <xdr:ext cx="372861" cy="319230"/>
    <xdr:pic>
      <xdr:nvPicPr>
        <xdr:cNvPr id="37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982027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764</xdr:row>
      <xdr:rowOff>28575</xdr:rowOff>
    </xdr:from>
    <xdr:ext cx="354138" cy="327442"/>
    <xdr:pic>
      <xdr:nvPicPr>
        <xdr:cNvPr id="38" name="Imagem 37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14376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764</xdr:row>
      <xdr:rowOff>9525</xdr:rowOff>
    </xdr:from>
    <xdr:ext cx="466725" cy="285750"/>
    <xdr:pic>
      <xdr:nvPicPr>
        <xdr:cNvPr id="39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14357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764</xdr:row>
      <xdr:rowOff>19050</xdr:rowOff>
    </xdr:from>
    <xdr:ext cx="366064" cy="319230"/>
    <xdr:pic>
      <xdr:nvPicPr>
        <xdr:cNvPr id="40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14366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764</xdr:row>
      <xdr:rowOff>9525</xdr:rowOff>
    </xdr:from>
    <xdr:ext cx="372861" cy="319230"/>
    <xdr:pic>
      <xdr:nvPicPr>
        <xdr:cNvPr id="41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14357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853</xdr:row>
      <xdr:rowOff>28575</xdr:rowOff>
    </xdr:from>
    <xdr:ext cx="354138" cy="327442"/>
    <xdr:pic>
      <xdr:nvPicPr>
        <xdr:cNvPr id="42" name="Imagem 41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29073275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853</xdr:row>
      <xdr:rowOff>9525</xdr:rowOff>
    </xdr:from>
    <xdr:ext cx="466725" cy="285750"/>
    <xdr:pic>
      <xdr:nvPicPr>
        <xdr:cNvPr id="43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29054225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853</xdr:row>
      <xdr:rowOff>19050</xdr:rowOff>
    </xdr:from>
    <xdr:ext cx="366064" cy="319230"/>
    <xdr:pic>
      <xdr:nvPicPr>
        <xdr:cNvPr id="44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29063750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853</xdr:row>
      <xdr:rowOff>9525</xdr:rowOff>
    </xdr:from>
    <xdr:ext cx="372861" cy="319230"/>
    <xdr:pic>
      <xdr:nvPicPr>
        <xdr:cNvPr id="45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29054225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342900</xdr:colOff>
      <xdr:row>943</xdr:row>
      <xdr:rowOff>28575</xdr:rowOff>
    </xdr:from>
    <xdr:ext cx="354138" cy="327442"/>
    <xdr:pic>
      <xdr:nvPicPr>
        <xdr:cNvPr id="46" name="Imagem 45">
          <a:extLst>
            <a:ext uri="{FF2B5EF4-FFF2-40B4-BE49-F238E27FC236}">
              <a16:creationId xmlns="" xmlns:a16="http://schemas.microsoft.com/office/drawing/2014/main" id="{6F8D2B44-3974-4320-9CFA-332C5D891317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044" t="18243" r="18424" b="16892"/>
        <a:stretch/>
      </xdr:blipFill>
      <xdr:spPr bwMode="auto">
        <a:xfrm>
          <a:off x="1981200" y="144094200"/>
          <a:ext cx="354138" cy="3274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6</xdr:col>
      <xdr:colOff>285749</xdr:colOff>
      <xdr:row>943</xdr:row>
      <xdr:rowOff>9525</xdr:rowOff>
    </xdr:from>
    <xdr:ext cx="466725" cy="285750"/>
    <xdr:pic>
      <xdr:nvPicPr>
        <xdr:cNvPr id="47" name="Imagem 20">
          <a:extLst>
            <a:ext uri="{FF2B5EF4-FFF2-40B4-BE49-F238E27FC236}">
              <a16:creationId xmlns="" xmlns:a16="http://schemas.microsoft.com/office/drawing/2014/main" id="{F7B23BD3-BCEC-4CD1-B133-9FCD1E5EB1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8" t="6940" r="6279" b="29958"/>
        <a:stretch/>
      </xdr:blipFill>
      <xdr:spPr bwMode="auto">
        <a:xfrm>
          <a:off x="3686174" y="144075150"/>
          <a:ext cx="466725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9</xdr:col>
      <xdr:colOff>238125</xdr:colOff>
      <xdr:row>943</xdr:row>
      <xdr:rowOff>19050</xdr:rowOff>
    </xdr:from>
    <xdr:ext cx="366064" cy="319230"/>
    <xdr:pic>
      <xdr:nvPicPr>
        <xdr:cNvPr id="48" name="Imagem 21">
          <a:extLst>
            <a:ext uri="{FF2B5EF4-FFF2-40B4-BE49-F238E27FC236}">
              <a16:creationId xmlns="" xmlns:a16="http://schemas.microsoft.com/office/drawing/2014/main" id="{0FFB2097-DE22-4D23-AF2A-3B1F16D27039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3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749" t="25018" r="16328" b="6171"/>
        <a:stretch/>
      </xdr:blipFill>
      <xdr:spPr bwMode="auto">
        <a:xfrm>
          <a:off x="4876800" y="144084675"/>
          <a:ext cx="366064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1000125</xdr:colOff>
      <xdr:row>943</xdr:row>
      <xdr:rowOff>9525</xdr:rowOff>
    </xdr:from>
    <xdr:ext cx="372861" cy="319230"/>
    <xdr:pic>
      <xdr:nvPicPr>
        <xdr:cNvPr id="49" name="Imagem 22">
          <a:extLst>
            <a:ext uri="{FF2B5EF4-FFF2-40B4-BE49-F238E27FC236}">
              <a16:creationId xmlns="" xmlns:a16="http://schemas.microsoft.com/office/drawing/2014/main" id="{54B24F0F-1DAA-4DA3-AE0D-B315C85F44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400" t="25555" r="17191" b="12469"/>
        <a:stretch/>
      </xdr:blipFill>
      <xdr:spPr bwMode="auto">
        <a:xfrm>
          <a:off x="6372225" y="144075150"/>
          <a:ext cx="372861" cy="319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onograma%20Fis&#237;co%20Finan%20&amp;%20Curva%20S%20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ugustolimaconstrucaoedecoracao.com/" TargetMode="External"/><Relationship Id="rId13" Type="http://schemas.openxmlformats.org/officeDocument/2006/relationships/drawing" Target="../drawings/drawing6.xml"/><Relationship Id="rId3" Type="http://schemas.openxmlformats.org/officeDocument/2006/relationships/hyperlink" Target="http://www.augustolimaconstrucaoedecoracao.com/" TargetMode="External"/><Relationship Id="rId7" Type="http://schemas.openxmlformats.org/officeDocument/2006/relationships/hyperlink" Target="http://www.augustolimaconstrucaoedecoracao.com/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http://www.augustolimaconstrucaoedecoracao.com/" TargetMode="External"/><Relationship Id="rId1" Type="http://schemas.openxmlformats.org/officeDocument/2006/relationships/hyperlink" Target="http://www.augustolimaconstrucaoedecoracao.com/" TargetMode="External"/><Relationship Id="rId6" Type="http://schemas.openxmlformats.org/officeDocument/2006/relationships/hyperlink" Target="http://www.augustolimaconstrucaoedecoracao.com/" TargetMode="External"/><Relationship Id="rId11" Type="http://schemas.openxmlformats.org/officeDocument/2006/relationships/hyperlink" Target="http://www.augustolimaconstrucaoedecoracao.com/" TargetMode="External"/><Relationship Id="rId5" Type="http://schemas.openxmlformats.org/officeDocument/2006/relationships/hyperlink" Target="http://www.augustolimaconstrucaoedecoracao.com/" TargetMode="External"/><Relationship Id="rId10" Type="http://schemas.openxmlformats.org/officeDocument/2006/relationships/hyperlink" Target="http://www.augustolimaconstrucaoedecoracao.com/" TargetMode="External"/><Relationship Id="rId4" Type="http://schemas.openxmlformats.org/officeDocument/2006/relationships/hyperlink" Target="http://www.augustolimaconstrucaoedecoracao.com/" TargetMode="External"/><Relationship Id="rId9" Type="http://schemas.openxmlformats.org/officeDocument/2006/relationships/hyperlink" Target="http://www.augustolimaconstrucaoedecoracao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indexed="14"/>
    <pageSetUpPr fitToPage="1"/>
  </sheetPr>
  <dimension ref="A1:L428"/>
  <sheetViews>
    <sheetView zoomScaleNormal="100" workbookViewId="0">
      <selection activeCell="C37" sqref="C37"/>
    </sheetView>
  </sheetViews>
  <sheetFormatPr defaultRowHeight="12.75" x14ac:dyDescent="0.2"/>
  <cols>
    <col min="1" max="1" width="5.140625" style="1" customWidth="1"/>
    <col min="2" max="2" width="8.7109375" style="1" customWidth="1"/>
    <col min="3" max="3" width="31.28515625" style="1" customWidth="1"/>
    <col min="4" max="4" width="8.85546875" style="1" customWidth="1"/>
    <col min="5" max="5" width="35.28515625" style="1" customWidth="1"/>
    <col min="6" max="6" width="23.5703125" style="1" customWidth="1"/>
    <col min="7" max="7" width="23.85546875" style="1" customWidth="1"/>
    <col min="8" max="10" width="10.7109375" style="1" customWidth="1"/>
    <col min="11" max="11" width="11.28515625" style="1" bestFit="1" customWidth="1"/>
    <col min="12" max="12" width="13.28515625" style="1" customWidth="1"/>
    <col min="13" max="16384" width="9.140625" style="1"/>
  </cols>
  <sheetData>
    <row r="1" spans="1:12" s="29" customFormat="1" ht="12.75" customHeight="1" x14ac:dyDescent="0.2">
      <c r="A1" s="28"/>
      <c r="B1" s="639" t="s">
        <v>252</v>
      </c>
      <c r="C1" s="639"/>
      <c r="D1" s="639"/>
      <c r="E1" s="639"/>
      <c r="F1" s="639"/>
      <c r="G1" s="639"/>
      <c r="H1" s="639"/>
      <c r="I1" s="639"/>
      <c r="J1" s="639"/>
      <c r="K1" s="639"/>
      <c r="L1" s="639"/>
    </row>
    <row r="2" spans="1:12" s="29" customFormat="1" ht="20.25" customHeight="1" x14ac:dyDescent="0.2">
      <c r="A2" s="28"/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</row>
    <row r="3" spans="1:12" s="29" customFormat="1" ht="15.75" customHeight="1" x14ac:dyDescent="0.2">
      <c r="A3" s="28"/>
      <c r="B3" s="640" t="s">
        <v>280</v>
      </c>
      <c r="C3" s="640"/>
      <c r="D3" s="640"/>
      <c r="E3" s="640"/>
      <c r="F3" s="640"/>
      <c r="G3" s="640"/>
      <c r="H3" s="640"/>
      <c r="I3" s="640"/>
      <c r="J3" s="640"/>
      <c r="K3" s="640"/>
      <c r="L3" s="640"/>
    </row>
    <row r="4" spans="1:12" s="29" customFormat="1" ht="13.5" thickBot="1" x14ac:dyDescent="0.25">
      <c r="A4" s="28"/>
      <c r="B4" s="641"/>
      <c r="C4" s="641"/>
      <c r="D4" s="641"/>
      <c r="E4" s="641"/>
      <c r="F4" s="641"/>
      <c r="G4" s="641"/>
      <c r="H4" s="641"/>
      <c r="I4" s="641"/>
      <c r="J4" s="641"/>
      <c r="K4" s="641"/>
      <c r="L4" s="641"/>
    </row>
    <row r="5" spans="1:12" s="100" customFormat="1" ht="18.75" customHeight="1" thickBot="1" x14ac:dyDescent="0.25">
      <c r="B5" s="101" t="s">
        <v>0</v>
      </c>
      <c r="C5" s="102" t="s">
        <v>1</v>
      </c>
      <c r="D5" s="102" t="s">
        <v>209</v>
      </c>
      <c r="E5" s="102" t="s">
        <v>210</v>
      </c>
      <c r="F5" s="102" t="s">
        <v>25</v>
      </c>
      <c r="G5" s="102" t="s">
        <v>256</v>
      </c>
      <c r="H5" s="102" t="s">
        <v>270</v>
      </c>
      <c r="I5" s="102" t="s">
        <v>253</v>
      </c>
      <c r="J5" s="102" t="s">
        <v>254</v>
      </c>
      <c r="K5" s="102" t="s">
        <v>255</v>
      </c>
      <c r="L5" s="103" t="s">
        <v>27</v>
      </c>
    </row>
    <row r="6" spans="1:12" x14ac:dyDescent="0.2">
      <c r="B6" s="34" t="s">
        <v>3</v>
      </c>
      <c r="C6" s="35" t="str">
        <f>IF(B6="","",VLOOKUP(B6,ORÇAMENTO!$B$7:C401,2,0))</f>
        <v>INSTALAÇÕES PROVISÓRIAS</v>
      </c>
      <c r="D6" s="35" t="s">
        <v>182</v>
      </c>
      <c r="E6" s="35" t="str">
        <f>IF(D6="","",VLOOKUP(D6,ORÇAMENTO!$B$7:$E$73,2,0))</f>
        <v>Tapumes / cercas</v>
      </c>
      <c r="F6" s="60"/>
      <c r="G6" s="60"/>
      <c r="H6" s="56">
        <v>1</v>
      </c>
      <c r="I6" s="38">
        <v>130</v>
      </c>
      <c r="J6" s="38">
        <v>1</v>
      </c>
      <c r="K6" s="39">
        <v>2.5</v>
      </c>
      <c r="L6" s="40">
        <f t="shared" ref="L6:L45" si="0">H6*I6*J6*K6</f>
        <v>325</v>
      </c>
    </row>
    <row r="7" spans="1:12" x14ac:dyDescent="0.2">
      <c r="B7" s="34" t="s">
        <v>3</v>
      </c>
      <c r="C7" s="35" t="str">
        <f>IF(B7="","",VLOOKUP(B7,ORÇAMENTO!$B$7:C402,2,0))</f>
        <v>INSTALAÇÕES PROVISÓRIAS</v>
      </c>
      <c r="D7" s="35" t="s">
        <v>186</v>
      </c>
      <c r="E7" s="35" t="str">
        <f>IF(D7="","",VLOOKUP(D7,ORÇAMENTO!$B$7:$E$73,2,0))</f>
        <v>Locação da obra (gabarito)</v>
      </c>
      <c r="F7" s="60"/>
      <c r="G7" s="60"/>
      <c r="H7" s="56">
        <v>1</v>
      </c>
      <c r="I7" s="38">
        <v>1</v>
      </c>
      <c r="J7" s="38">
        <v>1</v>
      </c>
      <c r="K7" s="39">
        <v>370</v>
      </c>
      <c r="L7" s="40">
        <f t="shared" si="0"/>
        <v>370</v>
      </c>
    </row>
    <row r="8" spans="1:12" x14ac:dyDescent="0.2">
      <c r="B8" s="43" t="s">
        <v>8</v>
      </c>
      <c r="C8" s="44" t="str">
        <f>IF(B8="","",VLOOKUP(B8,ORÇAMENTO!$B$7:C395,2,0))</f>
        <v>MOVIMENTO DE TERRA</v>
      </c>
      <c r="D8" s="44" t="s">
        <v>193</v>
      </c>
      <c r="E8" s="44" t="str">
        <f>IF(D8="","",VLOOKUP(D8,ORÇAMENTO!$B$7:$E$73,2,0))</f>
        <v>Limpeza do terreno</v>
      </c>
      <c r="F8" s="57"/>
      <c r="G8" s="57"/>
      <c r="H8" s="45">
        <v>1</v>
      </c>
      <c r="I8" s="46">
        <v>1</v>
      </c>
      <c r="J8" s="46">
        <v>1</v>
      </c>
      <c r="K8" s="47">
        <v>378</v>
      </c>
      <c r="L8" s="51">
        <f t="shared" si="0"/>
        <v>378</v>
      </c>
    </row>
    <row r="9" spans="1:12" x14ac:dyDescent="0.2">
      <c r="B9" s="43" t="s">
        <v>8</v>
      </c>
      <c r="C9" s="44" t="str">
        <f>IF(B9="","",VLOOKUP(B9,ORÇAMENTO!$B$7:C396,2,0))</f>
        <v>MOVIMENTO DE TERRA</v>
      </c>
      <c r="D9" s="44" t="s">
        <v>207</v>
      </c>
      <c r="E9" s="44" t="str">
        <f>IF(D9="","",VLOOKUP(D9,ORÇAMENTO!$B$7:$E$73,2,0))</f>
        <v>Escavações manuais</v>
      </c>
      <c r="F9" s="57"/>
      <c r="G9" s="57"/>
      <c r="H9" s="45">
        <v>1</v>
      </c>
      <c r="I9" s="46">
        <v>1</v>
      </c>
      <c r="J9" s="46">
        <v>1</v>
      </c>
      <c r="K9" s="47">
        <f>28.77+5</f>
        <v>33.769999999999996</v>
      </c>
      <c r="L9" s="48">
        <f t="shared" si="0"/>
        <v>33.769999999999996</v>
      </c>
    </row>
    <row r="10" spans="1:12" x14ac:dyDescent="0.2">
      <c r="B10" s="65" t="s">
        <v>8</v>
      </c>
      <c r="C10" s="66" t="str">
        <f>IF(B10="","",VLOOKUP(B10,ORÇAMENTO!$B$7:C397,2,0))</f>
        <v>MOVIMENTO DE TERRA</v>
      </c>
      <c r="D10" s="66" t="s">
        <v>208</v>
      </c>
      <c r="E10" s="66" t="str">
        <f>IF(D10="","",VLOOKUP(D10,ORÇAMENTO!$B$7:$E$73,2,0))</f>
        <v>Compactação do solo</v>
      </c>
      <c r="F10" s="72"/>
      <c r="G10" s="72"/>
      <c r="H10" s="67">
        <v>1</v>
      </c>
      <c r="I10" s="68">
        <v>1</v>
      </c>
      <c r="J10" s="68">
        <v>1</v>
      </c>
      <c r="K10" s="69">
        <v>100</v>
      </c>
      <c r="L10" s="73">
        <f t="shared" si="0"/>
        <v>100</v>
      </c>
    </row>
    <row r="11" spans="1:12" s="2" customFormat="1" ht="11.25" x14ac:dyDescent="0.2">
      <c r="B11" s="34" t="s">
        <v>9</v>
      </c>
      <c r="C11" s="35" t="str">
        <f>IF(B11="","",VLOOKUP(B11,ORÇAMENTO!$B$7:C78,2,0))</f>
        <v>FUNDAÇÃO</v>
      </c>
      <c r="D11" s="35" t="s">
        <v>101</v>
      </c>
      <c r="E11" s="35" t="str">
        <f>IF(D11="","",VLOOKUP(D11,ORÇAMENTO!$B$7:$E$73,2,0))</f>
        <v>Concreto 30 MPA</v>
      </c>
      <c r="F11" s="35" t="s">
        <v>11</v>
      </c>
      <c r="G11" s="35" t="s">
        <v>257</v>
      </c>
      <c r="H11" s="56">
        <v>30</v>
      </c>
      <c r="I11" s="38">
        <v>1</v>
      </c>
      <c r="J11" s="38">
        <v>1.37</v>
      </c>
      <c r="K11" s="39">
        <v>0.7</v>
      </c>
      <c r="L11" s="74">
        <f t="shared" si="0"/>
        <v>28.77</v>
      </c>
    </row>
    <row r="12" spans="1:12" s="2" customFormat="1" ht="11.25" x14ac:dyDescent="0.2">
      <c r="B12" s="34" t="s">
        <v>9</v>
      </c>
      <c r="C12" s="35" t="str">
        <f>IF(B12="","",VLOOKUP(B12,ORÇAMENTO!$B$7:C91,2,0))</f>
        <v>FUNDAÇÃO</v>
      </c>
      <c r="D12" s="35" t="s">
        <v>102</v>
      </c>
      <c r="E12" s="35" t="str">
        <f>IF(D12="","",VLOOKUP(D12,ORÇAMENTO!$B$7:$E$73,2,0))</f>
        <v>Forma</v>
      </c>
      <c r="F12" s="35" t="s">
        <v>11</v>
      </c>
      <c r="G12" s="35" t="s">
        <v>36</v>
      </c>
      <c r="H12" s="36">
        <v>2.8</v>
      </c>
      <c r="I12" s="37">
        <f>L11</f>
        <v>28.77</v>
      </c>
      <c r="J12" s="38">
        <v>1</v>
      </c>
      <c r="K12" s="39">
        <v>1</v>
      </c>
      <c r="L12" s="40">
        <f t="shared" si="0"/>
        <v>80.555999999999997</v>
      </c>
    </row>
    <row r="13" spans="1:12" s="2" customFormat="1" ht="11.25" x14ac:dyDescent="0.2">
      <c r="B13" s="34" t="s">
        <v>9</v>
      </c>
      <c r="C13" s="35" t="str">
        <f>IF(B13="","",VLOOKUP(B13,ORÇAMENTO!$B$7:C90,2,0))</f>
        <v>FUNDAÇÃO</v>
      </c>
      <c r="D13" s="35" t="s">
        <v>103</v>
      </c>
      <c r="E13" s="35" t="str">
        <f>IF(D13="","",VLOOKUP(D13,ORÇAMENTO!$B$7:$E$73,2,0))</f>
        <v>Armação (com corte e dobra)</v>
      </c>
      <c r="F13" s="35" t="s">
        <v>11</v>
      </c>
      <c r="G13" s="35" t="s">
        <v>36</v>
      </c>
      <c r="H13" s="41">
        <v>100</v>
      </c>
      <c r="I13" s="37">
        <f>L11</f>
        <v>28.77</v>
      </c>
      <c r="J13" s="38">
        <v>1</v>
      </c>
      <c r="K13" s="39">
        <v>1</v>
      </c>
      <c r="L13" s="42">
        <f t="shared" si="0"/>
        <v>2877</v>
      </c>
    </row>
    <row r="14" spans="1:12" s="2" customFormat="1" ht="11.25" x14ac:dyDescent="0.2">
      <c r="B14" s="43" t="s">
        <v>10</v>
      </c>
      <c r="C14" s="44" t="str">
        <f>IF(B14="","",VLOOKUP(B14,ORÇAMENTO!$B$7:C73,2,0))</f>
        <v>ESTRUTURA</v>
      </c>
      <c r="D14" s="44" t="s">
        <v>104</v>
      </c>
      <c r="E14" s="44" t="str">
        <f>IF(D14="","",VLOOKUP(D14,ORÇAMENTO!$B$7:$E$73,2,0))</f>
        <v>Concreto 30 MPA</v>
      </c>
      <c r="F14" s="44" t="s">
        <v>31</v>
      </c>
      <c r="G14" s="44" t="s">
        <v>32</v>
      </c>
      <c r="H14" s="45">
        <v>2</v>
      </c>
      <c r="I14" s="46">
        <v>0.8</v>
      </c>
      <c r="J14" s="46">
        <v>0.25</v>
      </c>
      <c r="K14" s="47">
        <v>2.8</v>
      </c>
      <c r="L14" s="48">
        <f t="shared" si="0"/>
        <v>1.1199999999999999</v>
      </c>
    </row>
    <row r="15" spans="1:12" s="2" customFormat="1" ht="11.25" x14ac:dyDescent="0.2">
      <c r="B15" s="43" t="s">
        <v>10</v>
      </c>
      <c r="C15" s="44" t="str">
        <f>IF(B15="","",VLOOKUP(B15,ORÇAMENTO!$B$7:C74,2,0))</f>
        <v>ESTRUTURA</v>
      </c>
      <c r="D15" s="44" t="s">
        <v>104</v>
      </c>
      <c r="E15" s="44" t="str">
        <f>IF(D15="","",VLOOKUP(D15,ORÇAMENTO!$B$7:$E$73,2,0))</f>
        <v>Concreto 30 MPA</v>
      </c>
      <c r="F15" s="44" t="s">
        <v>31</v>
      </c>
      <c r="G15" s="44" t="s">
        <v>32</v>
      </c>
      <c r="H15" s="45">
        <v>7</v>
      </c>
      <c r="I15" s="46">
        <v>0.6</v>
      </c>
      <c r="J15" s="46">
        <v>0.25</v>
      </c>
      <c r="K15" s="47">
        <v>2.8</v>
      </c>
      <c r="L15" s="48">
        <f t="shared" si="0"/>
        <v>2.94</v>
      </c>
    </row>
    <row r="16" spans="1:12" s="2" customFormat="1" ht="11.25" x14ac:dyDescent="0.2">
      <c r="B16" s="43" t="s">
        <v>10</v>
      </c>
      <c r="C16" s="44" t="str">
        <f>IF(B16="","",VLOOKUP(B16,ORÇAMENTO!$B$7:C75,2,0))</f>
        <v>ESTRUTURA</v>
      </c>
      <c r="D16" s="44" t="s">
        <v>104</v>
      </c>
      <c r="E16" s="44" t="str">
        <f>IF(D16="","",VLOOKUP(D16,ORÇAMENTO!$B$7:$E$73,2,0))</f>
        <v>Concreto 30 MPA</v>
      </c>
      <c r="F16" s="44" t="s">
        <v>31</v>
      </c>
      <c r="G16" s="44" t="s">
        <v>32</v>
      </c>
      <c r="H16" s="45">
        <v>2</v>
      </c>
      <c r="I16" s="46">
        <v>0.2</v>
      </c>
      <c r="J16" s="46">
        <v>1.83</v>
      </c>
      <c r="K16" s="47">
        <v>2.8</v>
      </c>
      <c r="L16" s="48">
        <f t="shared" si="0"/>
        <v>2.0496000000000003</v>
      </c>
    </row>
    <row r="17" spans="2:12" s="2" customFormat="1" ht="11.25" x14ac:dyDescent="0.2">
      <c r="B17" s="43" t="s">
        <v>10</v>
      </c>
      <c r="C17" s="44" t="str">
        <f>IF(B17="","",VLOOKUP(B17,ORÇAMENTO!$B$7:C76,2,0))</f>
        <v>ESTRUTURA</v>
      </c>
      <c r="D17" s="44" t="s">
        <v>104</v>
      </c>
      <c r="E17" s="44" t="str">
        <f>IF(D17="","",VLOOKUP(D17,ORÇAMENTO!$B$7:$E$73,2,0))</f>
        <v>Concreto 30 MPA</v>
      </c>
      <c r="F17" s="44" t="s">
        <v>31</v>
      </c>
      <c r="G17" s="44" t="s">
        <v>32</v>
      </c>
      <c r="H17" s="45">
        <v>1</v>
      </c>
      <c r="I17" s="46">
        <v>0.2</v>
      </c>
      <c r="J17" s="46">
        <v>0.7</v>
      </c>
      <c r="K17" s="47">
        <v>2.8</v>
      </c>
      <c r="L17" s="48">
        <f t="shared" si="0"/>
        <v>0.39199999999999996</v>
      </c>
    </row>
    <row r="18" spans="2:12" s="2" customFormat="1" ht="11.25" x14ac:dyDescent="0.2">
      <c r="B18" s="43" t="s">
        <v>10</v>
      </c>
      <c r="C18" s="44" t="str">
        <f>IF(B18="","",VLOOKUP(B18,ORÇAMENTO!$B$7:C77,2,0))</f>
        <v>ESTRUTURA</v>
      </c>
      <c r="D18" s="44" t="s">
        <v>104</v>
      </c>
      <c r="E18" s="44" t="str">
        <f>IF(D18="","",VLOOKUP(D18,ORÇAMENTO!$B$7:$E$73,2,0))</f>
        <v>Concreto 30 MPA</v>
      </c>
      <c r="F18" s="44" t="s">
        <v>31</v>
      </c>
      <c r="G18" s="44" t="s">
        <v>32</v>
      </c>
      <c r="H18" s="45">
        <v>1</v>
      </c>
      <c r="I18" s="46">
        <v>0.5</v>
      </c>
      <c r="J18" s="46">
        <v>0.25</v>
      </c>
      <c r="K18" s="47">
        <v>2.8</v>
      </c>
      <c r="L18" s="48">
        <f t="shared" si="0"/>
        <v>0.35</v>
      </c>
    </row>
    <row r="19" spans="2:12" s="2" customFormat="1" ht="11.25" x14ac:dyDescent="0.2">
      <c r="B19" s="43" t="s">
        <v>10</v>
      </c>
      <c r="C19" s="44" t="str">
        <f>IF(B19="","",VLOOKUP(B19,ORÇAMENTO!$B$7:C78,2,0))</f>
        <v>ESTRUTURA</v>
      </c>
      <c r="D19" s="44" t="s">
        <v>104</v>
      </c>
      <c r="E19" s="44" t="str">
        <f>IF(D19="","",VLOOKUP(D19,ORÇAMENTO!$B$7:$E$73,2,0))</f>
        <v>Concreto 30 MPA</v>
      </c>
      <c r="F19" s="44" t="s">
        <v>31</v>
      </c>
      <c r="G19" s="44" t="s">
        <v>32</v>
      </c>
      <c r="H19" s="45">
        <v>1</v>
      </c>
      <c r="I19" s="46">
        <v>0.3</v>
      </c>
      <c r="J19" s="46">
        <v>0.2</v>
      </c>
      <c r="K19" s="47">
        <v>2.8</v>
      </c>
      <c r="L19" s="48">
        <f t="shared" si="0"/>
        <v>0.16799999999999998</v>
      </c>
    </row>
    <row r="20" spans="2:12" s="2" customFormat="1" ht="11.25" x14ac:dyDescent="0.2">
      <c r="B20" s="43" t="s">
        <v>10</v>
      </c>
      <c r="C20" s="44" t="str">
        <f>IF(B20="","",VLOOKUP(B20,ORÇAMENTO!$B$7:C79,2,0))</f>
        <v>ESTRUTURA</v>
      </c>
      <c r="D20" s="44" t="s">
        <v>104</v>
      </c>
      <c r="E20" s="44" t="str">
        <f>IF(D20="","",VLOOKUP(D20,ORÇAMENTO!$B$7:$E$73,2,0))</f>
        <v>Concreto 30 MPA</v>
      </c>
      <c r="F20" s="44" t="s">
        <v>31</v>
      </c>
      <c r="G20" s="44" t="s">
        <v>32</v>
      </c>
      <c r="H20" s="45">
        <v>2</v>
      </c>
      <c r="I20" s="46">
        <v>0.3</v>
      </c>
      <c r="J20" s="46">
        <v>0.25</v>
      </c>
      <c r="K20" s="47">
        <v>2.8</v>
      </c>
      <c r="L20" s="48">
        <f t="shared" si="0"/>
        <v>0.42</v>
      </c>
    </row>
    <row r="21" spans="2:12" s="2" customFormat="1" ht="11.25" x14ac:dyDescent="0.2">
      <c r="B21" s="43" t="s">
        <v>10</v>
      </c>
      <c r="C21" s="44" t="str">
        <f>IF(B21="","",VLOOKUP(B21,ORÇAMENTO!$B$7:C80,2,0))</f>
        <v>ESTRUTURA</v>
      </c>
      <c r="D21" s="44" t="s">
        <v>104</v>
      </c>
      <c r="E21" s="44" t="str">
        <f>IF(D21="","",VLOOKUP(D21,ORÇAMENTO!$B$7:$E$73,2,0))</f>
        <v>Concreto 30 MPA</v>
      </c>
      <c r="F21" s="44" t="s">
        <v>31</v>
      </c>
      <c r="G21" s="44" t="s">
        <v>32</v>
      </c>
      <c r="H21" s="45">
        <v>1</v>
      </c>
      <c r="I21" s="46">
        <v>0.2</v>
      </c>
      <c r="J21" s="46">
        <v>0.2</v>
      </c>
      <c r="K21" s="47">
        <v>2.8</v>
      </c>
      <c r="L21" s="48">
        <f t="shared" si="0"/>
        <v>0.11200000000000002</v>
      </c>
    </row>
    <row r="22" spans="2:12" s="2" customFormat="1" ht="11.25" x14ac:dyDescent="0.2">
      <c r="B22" s="43" t="s">
        <v>10</v>
      </c>
      <c r="C22" s="44" t="str">
        <f>IF(B22="","",VLOOKUP(B22,ORÇAMENTO!$B$7:C76,2,0))</f>
        <v>ESTRUTURA</v>
      </c>
      <c r="D22" s="44" t="s">
        <v>104</v>
      </c>
      <c r="E22" s="44" t="str">
        <f>IF(D22="","",VLOOKUP(D22,ORÇAMENTO!$B$7:$E$73,2,0))</f>
        <v>Concreto 30 MPA</v>
      </c>
      <c r="F22" s="44" t="s">
        <v>31</v>
      </c>
      <c r="G22" s="44" t="s">
        <v>32</v>
      </c>
      <c r="H22" s="45">
        <v>1</v>
      </c>
      <c r="I22" s="46">
        <v>0.2</v>
      </c>
      <c r="J22" s="46">
        <v>0.14000000000000001</v>
      </c>
      <c r="K22" s="47">
        <v>2.8</v>
      </c>
      <c r="L22" s="48">
        <f t="shared" si="0"/>
        <v>7.8400000000000011E-2</v>
      </c>
    </row>
    <row r="23" spans="2:12" s="2" customFormat="1" ht="11.25" x14ac:dyDescent="0.2">
      <c r="B23" s="43" t="s">
        <v>10</v>
      </c>
      <c r="C23" s="44" t="str">
        <f>IF(B23="","",VLOOKUP(B23,ORÇAMENTO!$B$7:C77,2,0))</f>
        <v>ESTRUTURA</v>
      </c>
      <c r="D23" s="44" t="s">
        <v>104</v>
      </c>
      <c r="E23" s="44" t="str">
        <f>IF(D23="","",VLOOKUP(D23,ORÇAMENTO!$B$7:$E$73,2,0))</f>
        <v>Concreto 30 MPA</v>
      </c>
      <c r="F23" s="44" t="s">
        <v>31</v>
      </c>
      <c r="G23" s="44" t="s">
        <v>239</v>
      </c>
      <c r="H23" s="45">
        <v>2</v>
      </c>
      <c r="I23" s="46">
        <v>0.3</v>
      </c>
      <c r="J23" s="46">
        <v>0.4</v>
      </c>
      <c r="K23" s="47">
        <v>9.4499999999999993</v>
      </c>
      <c r="L23" s="48">
        <f t="shared" si="0"/>
        <v>2.2679999999999998</v>
      </c>
    </row>
    <row r="24" spans="2:12" s="2" customFormat="1" ht="11.25" x14ac:dyDescent="0.2">
      <c r="B24" s="43" t="s">
        <v>10</v>
      </c>
      <c r="C24" s="44" t="str">
        <f>IF(B24="","",VLOOKUP(B24,ORÇAMENTO!$B$7:C78,2,0))</f>
        <v>ESTRUTURA</v>
      </c>
      <c r="D24" s="44" t="s">
        <v>104</v>
      </c>
      <c r="E24" s="44" t="str">
        <f>IF(D24="","",VLOOKUP(D24,ORÇAMENTO!$B$7:$E$73,2,0))</f>
        <v>Concreto 30 MPA</v>
      </c>
      <c r="F24" s="44" t="s">
        <v>31</v>
      </c>
      <c r="G24" s="44" t="s">
        <v>239</v>
      </c>
      <c r="H24" s="45">
        <v>1</v>
      </c>
      <c r="I24" s="46">
        <v>0.3</v>
      </c>
      <c r="J24" s="46">
        <v>0.4</v>
      </c>
      <c r="K24" s="47">
        <v>7.4</v>
      </c>
      <c r="L24" s="48">
        <f t="shared" si="0"/>
        <v>0.88800000000000001</v>
      </c>
    </row>
    <row r="25" spans="2:12" s="2" customFormat="1" ht="11.25" x14ac:dyDescent="0.2">
      <c r="B25" s="43" t="s">
        <v>10</v>
      </c>
      <c r="C25" s="44" t="str">
        <f>IF(B25="","",VLOOKUP(B25,ORÇAMENTO!$B$7:C79,2,0))</f>
        <v>ESTRUTURA</v>
      </c>
      <c r="D25" s="44" t="s">
        <v>104</v>
      </c>
      <c r="E25" s="44" t="str">
        <f>IF(D25="","",VLOOKUP(D25,ORÇAMENTO!$B$7:$E$73,2,0))</f>
        <v>Concreto 30 MPA</v>
      </c>
      <c r="F25" s="44" t="s">
        <v>31</v>
      </c>
      <c r="G25" s="44" t="s">
        <v>239</v>
      </c>
      <c r="H25" s="45">
        <v>1</v>
      </c>
      <c r="I25" s="46">
        <v>0.2</v>
      </c>
      <c r="J25" s="46">
        <v>0.4</v>
      </c>
      <c r="K25" s="47">
        <v>4.75</v>
      </c>
      <c r="L25" s="48">
        <f t="shared" si="0"/>
        <v>0.38000000000000006</v>
      </c>
    </row>
    <row r="26" spans="2:12" s="2" customFormat="1" ht="11.25" x14ac:dyDescent="0.2">
      <c r="B26" s="43" t="s">
        <v>10</v>
      </c>
      <c r="C26" s="44" t="str">
        <f>IF(B26="","",VLOOKUP(B26,ORÇAMENTO!$B$7:C80,2,0))</f>
        <v>ESTRUTURA</v>
      </c>
      <c r="D26" s="44" t="s">
        <v>104</v>
      </c>
      <c r="E26" s="44" t="str">
        <f>IF(D26="","",VLOOKUP(D26,ORÇAMENTO!$B$7:$E$73,2,0))</f>
        <v>Concreto 30 MPA</v>
      </c>
      <c r="F26" s="44" t="s">
        <v>31</v>
      </c>
      <c r="G26" s="44" t="s">
        <v>239</v>
      </c>
      <c r="H26" s="45">
        <v>1</v>
      </c>
      <c r="I26" s="46">
        <v>0.2</v>
      </c>
      <c r="J26" s="46">
        <v>0.4</v>
      </c>
      <c r="K26" s="47">
        <v>6.75</v>
      </c>
      <c r="L26" s="48">
        <f t="shared" si="0"/>
        <v>0.54000000000000015</v>
      </c>
    </row>
    <row r="27" spans="2:12" s="2" customFormat="1" ht="11.25" x14ac:dyDescent="0.2">
      <c r="B27" s="43" t="s">
        <v>10</v>
      </c>
      <c r="C27" s="44" t="str">
        <f>IF(B27="","",VLOOKUP(B27,ORÇAMENTO!$B$7:C81,2,0))</f>
        <v>ESTRUTURA</v>
      </c>
      <c r="D27" s="44" t="s">
        <v>104</v>
      </c>
      <c r="E27" s="44" t="str">
        <f>IF(D27="","",VLOOKUP(D27,ORÇAMENTO!$B$7:$E$73,2,0))</f>
        <v>Concreto 30 MPA</v>
      </c>
      <c r="F27" s="44" t="s">
        <v>31</v>
      </c>
      <c r="G27" s="44" t="s">
        <v>239</v>
      </c>
      <c r="H27" s="45">
        <v>1</v>
      </c>
      <c r="I27" s="46">
        <v>0.14000000000000001</v>
      </c>
      <c r="J27" s="46">
        <v>0.4</v>
      </c>
      <c r="K27" s="47">
        <v>7.4</v>
      </c>
      <c r="L27" s="48">
        <f t="shared" si="0"/>
        <v>0.4144000000000001</v>
      </c>
    </row>
    <row r="28" spans="2:12" s="2" customFormat="1" ht="11.25" x14ac:dyDescent="0.2">
      <c r="B28" s="43" t="s">
        <v>10</v>
      </c>
      <c r="C28" s="44" t="str">
        <f>IF(B28="","",VLOOKUP(B28,ORÇAMENTO!$B$7:C81,2,0))</f>
        <v>ESTRUTURA</v>
      </c>
      <c r="D28" s="44" t="s">
        <v>104</v>
      </c>
      <c r="E28" s="44" t="str">
        <f>IF(D28="","",VLOOKUP(D28,ORÇAMENTO!$B$7:$E$73,2,0))</f>
        <v>Concreto 30 MPA</v>
      </c>
      <c r="F28" s="44" t="s">
        <v>31</v>
      </c>
      <c r="G28" s="44" t="s">
        <v>239</v>
      </c>
      <c r="H28" s="45">
        <v>2</v>
      </c>
      <c r="I28" s="46">
        <v>0.2</v>
      </c>
      <c r="J28" s="46">
        <v>0.4</v>
      </c>
      <c r="K28" s="47">
        <v>7.95</v>
      </c>
      <c r="L28" s="48">
        <f t="shared" si="0"/>
        <v>1.2720000000000002</v>
      </c>
    </row>
    <row r="29" spans="2:12" s="2" customFormat="1" ht="11.25" x14ac:dyDescent="0.2">
      <c r="B29" s="43" t="s">
        <v>10</v>
      </c>
      <c r="C29" s="44" t="str">
        <f>IF(B29="","",VLOOKUP(B29,ORÇAMENTO!$B$7:C82,2,0))</f>
        <v>ESTRUTURA</v>
      </c>
      <c r="D29" s="44" t="s">
        <v>104</v>
      </c>
      <c r="E29" s="44" t="str">
        <f>IF(D29="","",VLOOKUP(D29,ORÇAMENTO!$B$7:$E$73,2,0))</f>
        <v>Concreto 30 MPA</v>
      </c>
      <c r="F29" s="44" t="s">
        <v>31</v>
      </c>
      <c r="G29" s="44" t="s">
        <v>239</v>
      </c>
      <c r="H29" s="45">
        <v>1</v>
      </c>
      <c r="I29" s="46">
        <v>0.25</v>
      </c>
      <c r="J29" s="46">
        <v>0.4</v>
      </c>
      <c r="K29" s="47">
        <v>12.8</v>
      </c>
      <c r="L29" s="48">
        <f t="shared" si="0"/>
        <v>1.2800000000000002</v>
      </c>
    </row>
    <row r="30" spans="2:12" s="2" customFormat="1" ht="11.25" x14ac:dyDescent="0.2">
      <c r="B30" s="43" t="s">
        <v>10</v>
      </c>
      <c r="C30" s="44" t="str">
        <f>IF(B30="","",VLOOKUP(B30,ORÇAMENTO!$B$7:C83,2,0))</f>
        <v>ESTRUTURA</v>
      </c>
      <c r="D30" s="44" t="s">
        <v>104</v>
      </c>
      <c r="E30" s="44" t="str">
        <f>IF(D30="","",VLOOKUP(D30,ORÇAMENTO!$B$7:$E$73,2,0))</f>
        <v>Concreto 30 MPA</v>
      </c>
      <c r="F30" s="44" t="s">
        <v>31</v>
      </c>
      <c r="G30" s="44" t="s">
        <v>239</v>
      </c>
      <c r="H30" s="45">
        <v>1</v>
      </c>
      <c r="I30" s="46">
        <v>0.14000000000000001</v>
      </c>
      <c r="J30" s="46">
        <v>0.4</v>
      </c>
      <c r="K30" s="47">
        <v>12.2</v>
      </c>
      <c r="L30" s="48">
        <f t="shared" si="0"/>
        <v>0.68320000000000003</v>
      </c>
    </row>
    <row r="31" spans="2:12" s="2" customFormat="1" ht="11.25" x14ac:dyDescent="0.2">
      <c r="B31" s="43" t="s">
        <v>10</v>
      </c>
      <c r="C31" s="44" t="str">
        <f>IF(B31="","",VLOOKUP(B31,ORÇAMENTO!$B$7:C84,2,0))</f>
        <v>ESTRUTURA</v>
      </c>
      <c r="D31" s="44" t="s">
        <v>104</v>
      </c>
      <c r="E31" s="44" t="str">
        <f>IF(D31="","",VLOOKUP(D31,ORÇAMENTO!$B$7:$E$73,2,0))</f>
        <v>Concreto 30 MPA</v>
      </c>
      <c r="F31" s="44" t="s">
        <v>31</v>
      </c>
      <c r="G31" s="44" t="s">
        <v>239</v>
      </c>
      <c r="H31" s="45">
        <v>1</v>
      </c>
      <c r="I31" s="46">
        <v>0.14000000000000001</v>
      </c>
      <c r="J31" s="46">
        <v>0.4</v>
      </c>
      <c r="K31" s="47">
        <v>2.15</v>
      </c>
      <c r="L31" s="48">
        <f t="shared" si="0"/>
        <v>0.12040000000000001</v>
      </c>
    </row>
    <row r="32" spans="2:12" s="2" customFormat="1" ht="11.25" x14ac:dyDescent="0.2">
      <c r="B32" s="43" t="s">
        <v>10</v>
      </c>
      <c r="C32" s="44" t="str">
        <f>IF(B32="","",VLOOKUP(B32,ORÇAMENTO!$B$7:C85,2,0))</f>
        <v>ESTRUTURA</v>
      </c>
      <c r="D32" s="44" t="s">
        <v>104</v>
      </c>
      <c r="E32" s="44" t="str">
        <f>IF(D32="","",VLOOKUP(D32,ORÇAMENTO!$B$7:$E$73,2,0))</f>
        <v>Concreto 30 MPA</v>
      </c>
      <c r="F32" s="44" t="s">
        <v>31</v>
      </c>
      <c r="G32" s="44" t="s">
        <v>239</v>
      </c>
      <c r="H32" s="45">
        <v>1</v>
      </c>
      <c r="I32" s="46">
        <v>0.14000000000000001</v>
      </c>
      <c r="J32" s="46">
        <v>0.4</v>
      </c>
      <c r="K32" s="47">
        <v>4.6500000000000004</v>
      </c>
      <c r="L32" s="48">
        <f t="shared" si="0"/>
        <v>0.26040000000000008</v>
      </c>
    </row>
    <row r="33" spans="2:12" s="2" customFormat="1" ht="11.25" x14ac:dyDescent="0.2">
      <c r="B33" s="43" t="s">
        <v>10</v>
      </c>
      <c r="C33" s="44" t="str">
        <f>IF(B33="","",VLOOKUP(B33,ORÇAMENTO!$B$7:C86,2,0))</f>
        <v>ESTRUTURA</v>
      </c>
      <c r="D33" s="44" t="s">
        <v>104</v>
      </c>
      <c r="E33" s="44" t="str">
        <f>IF(D33="","",VLOOKUP(D33,ORÇAMENTO!$B$7:$E$73,2,0))</f>
        <v>Concreto 30 MPA</v>
      </c>
      <c r="F33" s="44" t="s">
        <v>31</v>
      </c>
      <c r="G33" s="44" t="s">
        <v>239</v>
      </c>
      <c r="H33" s="45">
        <v>1</v>
      </c>
      <c r="I33" s="46">
        <v>0.14000000000000001</v>
      </c>
      <c r="J33" s="46">
        <v>0.4</v>
      </c>
      <c r="K33" s="47">
        <v>9.4</v>
      </c>
      <c r="L33" s="48">
        <f t="shared" si="0"/>
        <v>0.52640000000000009</v>
      </c>
    </row>
    <row r="34" spans="2:12" s="2" customFormat="1" ht="11.25" x14ac:dyDescent="0.2">
      <c r="B34" s="43" t="s">
        <v>10</v>
      </c>
      <c r="C34" s="44" t="str">
        <f>IF(B34="","",VLOOKUP(B34,ORÇAMENTO!$B$7:C87,2,0))</f>
        <v>ESTRUTURA</v>
      </c>
      <c r="D34" s="44" t="s">
        <v>104</v>
      </c>
      <c r="E34" s="44" t="str">
        <f>IF(D34="","",VLOOKUP(D34,ORÇAMENTO!$B$7:$E$73,2,0))</f>
        <v>Concreto 30 MPA</v>
      </c>
      <c r="F34" s="44" t="s">
        <v>31</v>
      </c>
      <c r="G34" s="44" t="s">
        <v>239</v>
      </c>
      <c r="H34" s="45">
        <v>1</v>
      </c>
      <c r="I34" s="46">
        <v>0.14000000000000001</v>
      </c>
      <c r="J34" s="46">
        <v>0.4</v>
      </c>
      <c r="K34" s="47">
        <v>4.6500000000000004</v>
      </c>
      <c r="L34" s="48">
        <f t="shared" si="0"/>
        <v>0.26040000000000008</v>
      </c>
    </row>
    <row r="35" spans="2:12" s="2" customFormat="1" ht="11.25" x14ac:dyDescent="0.2">
      <c r="B35" s="43" t="s">
        <v>10</v>
      </c>
      <c r="C35" s="44" t="str">
        <f>IF(B35="","",VLOOKUP(B35,ORÇAMENTO!$B$7:C88,2,0))</f>
        <v>ESTRUTURA</v>
      </c>
      <c r="D35" s="44" t="s">
        <v>104</v>
      </c>
      <c r="E35" s="44" t="str">
        <f>IF(D35="","",VLOOKUP(D35,ORÇAMENTO!$B$7:$E$73,2,0))</f>
        <v>Concreto 30 MPA</v>
      </c>
      <c r="F35" s="44" t="s">
        <v>31</v>
      </c>
      <c r="G35" s="44" t="s">
        <v>239</v>
      </c>
      <c r="H35" s="45">
        <v>1</v>
      </c>
      <c r="I35" s="46">
        <v>0.14000000000000001</v>
      </c>
      <c r="J35" s="46">
        <v>0.4</v>
      </c>
      <c r="K35" s="47">
        <v>2.0499999999999998</v>
      </c>
      <c r="L35" s="48">
        <f t="shared" si="0"/>
        <v>0.11480000000000001</v>
      </c>
    </row>
    <row r="36" spans="2:12" s="2" customFormat="1" ht="11.25" x14ac:dyDescent="0.2">
      <c r="B36" s="43" t="s">
        <v>10</v>
      </c>
      <c r="C36" s="44" t="str">
        <f>IF(B36="","",VLOOKUP(B36,ORÇAMENTO!$B$7:C89,2,0))</f>
        <v>ESTRUTURA</v>
      </c>
      <c r="D36" s="44" t="s">
        <v>104</v>
      </c>
      <c r="E36" s="44" t="str">
        <f>IF(D36="","",VLOOKUP(D36,ORÇAMENTO!$B$7:$E$73,2,0))</f>
        <v>Concreto 30 MPA</v>
      </c>
      <c r="F36" s="44" t="s">
        <v>31</v>
      </c>
      <c r="G36" s="44" t="s">
        <v>239</v>
      </c>
      <c r="H36" s="45">
        <v>1</v>
      </c>
      <c r="I36" s="46">
        <v>0.14000000000000001</v>
      </c>
      <c r="J36" s="46">
        <v>0.4</v>
      </c>
      <c r="K36" s="47">
        <v>24.3</v>
      </c>
      <c r="L36" s="48">
        <f t="shared" si="0"/>
        <v>1.3608000000000002</v>
      </c>
    </row>
    <row r="37" spans="2:12" s="2" customFormat="1" ht="11.25" x14ac:dyDescent="0.2">
      <c r="B37" s="43" t="s">
        <v>10</v>
      </c>
      <c r="C37" s="44" t="str">
        <f>IF(B37="","",VLOOKUP(B37,ORÇAMENTO!$B$7:C90,2,0))</f>
        <v>ESTRUTURA</v>
      </c>
      <c r="D37" s="44" t="s">
        <v>104</v>
      </c>
      <c r="E37" s="44" t="str">
        <f>IF(D37="","",VLOOKUP(D37,ORÇAMENTO!$B$7:$E$73,2,0))</f>
        <v>Concreto 30 MPA</v>
      </c>
      <c r="F37" s="44" t="s">
        <v>31</v>
      </c>
      <c r="G37" s="44" t="s">
        <v>239</v>
      </c>
      <c r="H37" s="45">
        <v>1</v>
      </c>
      <c r="I37" s="46">
        <v>0.14000000000000001</v>
      </c>
      <c r="J37" s="46">
        <v>0.4</v>
      </c>
      <c r="K37" s="47">
        <v>3.55</v>
      </c>
      <c r="L37" s="48">
        <f t="shared" si="0"/>
        <v>0.19880000000000003</v>
      </c>
    </row>
    <row r="38" spans="2:12" s="2" customFormat="1" ht="11.25" x14ac:dyDescent="0.2">
      <c r="B38" s="43" t="s">
        <v>10</v>
      </c>
      <c r="C38" s="44" t="str">
        <f>IF(B38="","",VLOOKUP(B38,ORÇAMENTO!$B$7:C82,2,0))</f>
        <v>ESTRUTURA</v>
      </c>
      <c r="D38" s="44" t="s">
        <v>104</v>
      </c>
      <c r="E38" s="44" t="str">
        <f>IF(D38="","",VLOOKUP(D38,ORÇAMENTO!$B$7:$E$73,2,0))</f>
        <v>Concreto 30 MPA</v>
      </c>
      <c r="F38" s="44" t="s">
        <v>31</v>
      </c>
      <c r="G38" s="44" t="s">
        <v>240</v>
      </c>
      <c r="H38" s="45">
        <v>1</v>
      </c>
      <c r="I38" s="46">
        <v>0.15</v>
      </c>
      <c r="J38" s="46">
        <v>1</v>
      </c>
      <c r="K38" s="47">
        <v>311.38</v>
      </c>
      <c r="L38" s="48">
        <f t="shared" si="0"/>
        <v>46.707000000000001</v>
      </c>
    </row>
    <row r="39" spans="2:12" s="2" customFormat="1" ht="11.25" x14ac:dyDescent="0.2">
      <c r="B39" s="43" t="s">
        <v>10</v>
      </c>
      <c r="C39" s="44" t="str">
        <f>IF(B39="","",VLOOKUP(B39,ORÇAMENTO!$B$7:C76,2,0))</f>
        <v>ESTRUTURA</v>
      </c>
      <c r="D39" s="44" t="s">
        <v>104</v>
      </c>
      <c r="E39" s="44" t="str">
        <f>IF(D39="","",VLOOKUP(D39,ORÇAMENTO!$B$7:$E$73,2,0))</f>
        <v>Concreto 30 MPA</v>
      </c>
      <c r="F39" s="44" t="s">
        <v>28</v>
      </c>
      <c r="G39" s="44" t="s">
        <v>32</v>
      </c>
      <c r="H39" s="45">
        <v>2</v>
      </c>
      <c r="I39" s="46">
        <v>0.8</v>
      </c>
      <c r="J39" s="46">
        <v>0.25</v>
      </c>
      <c r="K39" s="47">
        <v>2.8</v>
      </c>
      <c r="L39" s="48">
        <f t="shared" si="0"/>
        <v>1.1199999999999999</v>
      </c>
    </row>
    <row r="40" spans="2:12" s="2" customFormat="1" ht="11.25" x14ac:dyDescent="0.2">
      <c r="B40" s="43" t="s">
        <v>10</v>
      </c>
      <c r="C40" s="44" t="str">
        <f>IF(B40="","",VLOOKUP(B40,ORÇAMENTO!$B$7:C77,2,0))</f>
        <v>ESTRUTURA</v>
      </c>
      <c r="D40" s="44" t="s">
        <v>104</v>
      </c>
      <c r="E40" s="44" t="str">
        <f>IF(D40="","",VLOOKUP(D40,ORÇAMENTO!$B$7:$E$73,2,0))</f>
        <v>Concreto 30 MPA</v>
      </c>
      <c r="F40" s="44" t="s">
        <v>28</v>
      </c>
      <c r="G40" s="44" t="s">
        <v>32</v>
      </c>
      <c r="H40" s="45">
        <v>7</v>
      </c>
      <c r="I40" s="46">
        <v>0.6</v>
      </c>
      <c r="J40" s="46">
        <v>0.25</v>
      </c>
      <c r="K40" s="47">
        <v>2.8</v>
      </c>
      <c r="L40" s="48">
        <f t="shared" si="0"/>
        <v>2.94</v>
      </c>
    </row>
    <row r="41" spans="2:12" s="2" customFormat="1" ht="11.25" x14ac:dyDescent="0.2">
      <c r="B41" s="43" t="s">
        <v>10</v>
      </c>
      <c r="C41" s="44" t="str">
        <f>IF(B41="","",VLOOKUP(B41,ORÇAMENTO!$B$7:C78,2,0))</f>
        <v>ESTRUTURA</v>
      </c>
      <c r="D41" s="44" t="s">
        <v>104</v>
      </c>
      <c r="E41" s="44" t="str">
        <f>IF(D41="","",VLOOKUP(D41,ORÇAMENTO!$B$7:$E$73,2,0))</f>
        <v>Concreto 30 MPA</v>
      </c>
      <c r="F41" s="44" t="s">
        <v>28</v>
      </c>
      <c r="G41" s="44" t="s">
        <v>32</v>
      </c>
      <c r="H41" s="45">
        <v>2</v>
      </c>
      <c r="I41" s="46">
        <v>0.2</v>
      </c>
      <c r="J41" s="46">
        <v>1.83</v>
      </c>
      <c r="K41" s="47">
        <v>2.8</v>
      </c>
      <c r="L41" s="48">
        <f t="shared" si="0"/>
        <v>2.0496000000000003</v>
      </c>
    </row>
    <row r="42" spans="2:12" s="2" customFormat="1" ht="11.25" x14ac:dyDescent="0.2">
      <c r="B42" s="43" t="s">
        <v>10</v>
      </c>
      <c r="C42" s="44" t="str">
        <f>IF(B42="","",VLOOKUP(B42,ORÇAMENTO!$B$7:C79,2,0))</f>
        <v>ESTRUTURA</v>
      </c>
      <c r="D42" s="44" t="s">
        <v>104</v>
      </c>
      <c r="E42" s="44" t="str">
        <f>IF(D42="","",VLOOKUP(D42,ORÇAMENTO!$B$7:$E$73,2,0))</f>
        <v>Concreto 30 MPA</v>
      </c>
      <c r="F42" s="44" t="s">
        <v>28</v>
      </c>
      <c r="G42" s="44" t="s">
        <v>32</v>
      </c>
      <c r="H42" s="45">
        <v>1</v>
      </c>
      <c r="I42" s="46">
        <v>0.2</v>
      </c>
      <c r="J42" s="46">
        <v>0.7</v>
      </c>
      <c r="K42" s="47">
        <v>2.8</v>
      </c>
      <c r="L42" s="48">
        <f t="shared" si="0"/>
        <v>0.39199999999999996</v>
      </c>
    </row>
    <row r="43" spans="2:12" s="2" customFormat="1" ht="11.25" x14ac:dyDescent="0.2">
      <c r="B43" s="43" t="s">
        <v>10</v>
      </c>
      <c r="C43" s="44" t="str">
        <f>IF(B43="","",VLOOKUP(B43,ORÇAMENTO!$B$7:C80,2,0))</f>
        <v>ESTRUTURA</v>
      </c>
      <c r="D43" s="44" t="s">
        <v>104</v>
      </c>
      <c r="E43" s="44" t="str">
        <f>IF(D43="","",VLOOKUP(D43,ORÇAMENTO!$B$7:$E$73,2,0))</f>
        <v>Concreto 30 MPA</v>
      </c>
      <c r="F43" s="44" t="s">
        <v>28</v>
      </c>
      <c r="G43" s="44" t="s">
        <v>32</v>
      </c>
      <c r="H43" s="45">
        <v>1</v>
      </c>
      <c r="I43" s="46">
        <v>0.5</v>
      </c>
      <c r="J43" s="46">
        <v>0.25</v>
      </c>
      <c r="K43" s="47">
        <v>2.8</v>
      </c>
      <c r="L43" s="48">
        <f t="shared" si="0"/>
        <v>0.35</v>
      </c>
    </row>
    <row r="44" spans="2:12" s="2" customFormat="1" ht="11.25" x14ac:dyDescent="0.2">
      <c r="B44" s="43" t="s">
        <v>10</v>
      </c>
      <c r="C44" s="44" t="str">
        <f>IF(B44="","",VLOOKUP(B44,ORÇAMENTO!$B$7:C81,2,0))</f>
        <v>ESTRUTURA</v>
      </c>
      <c r="D44" s="44" t="s">
        <v>104</v>
      </c>
      <c r="E44" s="44" t="str">
        <f>IF(D44="","",VLOOKUP(D44,ORÇAMENTO!$B$7:$E$73,2,0))</f>
        <v>Concreto 30 MPA</v>
      </c>
      <c r="F44" s="44" t="s">
        <v>28</v>
      </c>
      <c r="G44" s="44" t="s">
        <v>239</v>
      </c>
      <c r="H44" s="45">
        <v>1</v>
      </c>
      <c r="I44" s="46">
        <v>0.14000000000000001</v>
      </c>
      <c r="J44" s="46">
        <v>0.4</v>
      </c>
      <c r="K44" s="47">
        <v>160</v>
      </c>
      <c r="L44" s="48">
        <f t="shared" si="0"/>
        <v>8.9600000000000009</v>
      </c>
    </row>
    <row r="45" spans="2:12" s="2" customFormat="1" ht="11.25" x14ac:dyDescent="0.2">
      <c r="B45" s="43" t="s">
        <v>10</v>
      </c>
      <c r="C45" s="44" t="str">
        <f>IF(B45="","",VLOOKUP(B45,ORÇAMENTO!$B$7:C82,2,0))</f>
        <v>ESTRUTURA</v>
      </c>
      <c r="D45" s="44" t="s">
        <v>104</v>
      </c>
      <c r="E45" s="44" t="str">
        <f>IF(D45="","",VLOOKUP(D45,ORÇAMENTO!$B$7:$E$73,2,0))</f>
        <v>Concreto 30 MPA</v>
      </c>
      <c r="F45" s="44" t="s">
        <v>28</v>
      </c>
      <c r="G45" s="44" t="s">
        <v>240</v>
      </c>
      <c r="H45" s="45">
        <v>1</v>
      </c>
      <c r="I45" s="46">
        <v>0.15</v>
      </c>
      <c r="J45" s="46">
        <v>1</v>
      </c>
      <c r="K45" s="47">
        <v>182.24</v>
      </c>
      <c r="L45" s="48">
        <f t="shared" si="0"/>
        <v>27.336000000000002</v>
      </c>
    </row>
    <row r="46" spans="2:12" s="2" customFormat="1" ht="11.25" x14ac:dyDescent="0.2">
      <c r="B46" s="43" t="s">
        <v>10</v>
      </c>
      <c r="C46" s="44" t="str">
        <f>IF(B46="","",VLOOKUP(B46,ORÇAMENTO!$B$7:C78,2,0))</f>
        <v>ESTRUTURA</v>
      </c>
      <c r="D46" s="44" t="s">
        <v>104</v>
      </c>
      <c r="E46" s="44" t="str">
        <f>IF(D46="","",VLOOKUP(D46,ORÇAMENTO!$B$7:$E$73,2,0))</f>
        <v>Concreto 30 MPA</v>
      </c>
      <c r="F46" s="44" t="s">
        <v>29</v>
      </c>
      <c r="G46" s="44" t="s">
        <v>32</v>
      </c>
      <c r="H46" s="45">
        <v>2</v>
      </c>
      <c r="I46" s="46">
        <v>0.8</v>
      </c>
      <c r="J46" s="46">
        <v>0.25</v>
      </c>
      <c r="K46" s="47">
        <v>2.6</v>
      </c>
      <c r="L46" s="48">
        <f t="shared" ref="L46:L75" si="1">H46*I46*J46*K46*5</f>
        <v>5.2</v>
      </c>
    </row>
    <row r="47" spans="2:12" s="2" customFormat="1" ht="11.25" x14ac:dyDescent="0.2">
      <c r="B47" s="43" t="s">
        <v>10</v>
      </c>
      <c r="C47" s="44" t="str">
        <f>IF(B47="","",VLOOKUP(B47,ORÇAMENTO!$B$7:C79,2,0))</f>
        <v>ESTRUTURA</v>
      </c>
      <c r="D47" s="44" t="s">
        <v>104</v>
      </c>
      <c r="E47" s="44" t="str">
        <f>IF(D47="","",VLOOKUP(D47,ORÇAMENTO!$B$7:$E$73,2,0))</f>
        <v>Concreto 30 MPA</v>
      </c>
      <c r="F47" s="44" t="s">
        <v>29</v>
      </c>
      <c r="G47" s="44" t="s">
        <v>32</v>
      </c>
      <c r="H47" s="45">
        <v>7</v>
      </c>
      <c r="I47" s="46">
        <v>0.6</v>
      </c>
      <c r="J47" s="46">
        <v>0.25</v>
      </c>
      <c r="K47" s="47">
        <v>2.6</v>
      </c>
      <c r="L47" s="48">
        <f t="shared" si="1"/>
        <v>13.650000000000002</v>
      </c>
    </row>
    <row r="48" spans="2:12" s="2" customFormat="1" ht="11.25" x14ac:dyDescent="0.2">
      <c r="B48" s="43" t="s">
        <v>10</v>
      </c>
      <c r="C48" s="44" t="str">
        <f>IF(B48="","",VLOOKUP(B48,ORÇAMENTO!$B$7:C80,2,0))</f>
        <v>ESTRUTURA</v>
      </c>
      <c r="D48" s="44" t="s">
        <v>104</v>
      </c>
      <c r="E48" s="44" t="str">
        <f>IF(D48="","",VLOOKUP(D48,ORÇAMENTO!$B$7:$E$73,2,0))</f>
        <v>Concreto 30 MPA</v>
      </c>
      <c r="F48" s="44" t="s">
        <v>29</v>
      </c>
      <c r="G48" s="44" t="s">
        <v>32</v>
      </c>
      <c r="H48" s="45">
        <v>2</v>
      </c>
      <c r="I48" s="46">
        <v>0.2</v>
      </c>
      <c r="J48" s="46">
        <v>1.83</v>
      </c>
      <c r="K48" s="47">
        <v>2.6</v>
      </c>
      <c r="L48" s="48">
        <f t="shared" si="1"/>
        <v>9.5160000000000018</v>
      </c>
    </row>
    <row r="49" spans="2:12" s="2" customFormat="1" ht="11.25" x14ac:dyDescent="0.2">
      <c r="B49" s="43" t="s">
        <v>10</v>
      </c>
      <c r="C49" s="44" t="str">
        <f>IF(B49="","",VLOOKUP(B49,ORÇAMENTO!$B$7:C81,2,0))</f>
        <v>ESTRUTURA</v>
      </c>
      <c r="D49" s="44" t="s">
        <v>104</v>
      </c>
      <c r="E49" s="44" t="str">
        <f>IF(D49="","",VLOOKUP(D49,ORÇAMENTO!$B$7:$E$73,2,0))</f>
        <v>Concreto 30 MPA</v>
      </c>
      <c r="F49" s="44" t="s">
        <v>29</v>
      </c>
      <c r="G49" s="44" t="s">
        <v>32</v>
      </c>
      <c r="H49" s="45">
        <v>1</v>
      </c>
      <c r="I49" s="46">
        <v>0.2</v>
      </c>
      <c r="J49" s="46">
        <v>0.7</v>
      </c>
      <c r="K49" s="47">
        <v>2.6</v>
      </c>
      <c r="L49" s="48">
        <f t="shared" si="1"/>
        <v>1.8199999999999998</v>
      </c>
    </row>
    <row r="50" spans="2:12" s="2" customFormat="1" ht="11.25" x14ac:dyDescent="0.2">
      <c r="B50" s="43" t="s">
        <v>10</v>
      </c>
      <c r="C50" s="44" t="str">
        <f>IF(B50="","",VLOOKUP(B50,ORÇAMENTO!$B$7:C82,2,0))</f>
        <v>ESTRUTURA</v>
      </c>
      <c r="D50" s="44" t="s">
        <v>104</v>
      </c>
      <c r="E50" s="44" t="str">
        <f>IF(D50="","",VLOOKUP(D50,ORÇAMENTO!$B$7:$E$73,2,0))</f>
        <v>Concreto 30 MPA</v>
      </c>
      <c r="F50" s="44" t="s">
        <v>29</v>
      </c>
      <c r="G50" s="44" t="s">
        <v>32</v>
      </c>
      <c r="H50" s="45">
        <v>1</v>
      </c>
      <c r="I50" s="46">
        <v>0.5</v>
      </c>
      <c r="J50" s="46">
        <v>0.25</v>
      </c>
      <c r="K50" s="47">
        <v>2.6</v>
      </c>
      <c r="L50" s="48">
        <f t="shared" si="1"/>
        <v>1.625</v>
      </c>
    </row>
    <row r="51" spans="2:12" s="2" customFormat="1" ht="11.25" x14ac:dyDescent="0.2">
      <c r="B51" s="43" t="s">
        <v>10</v>
      </c>
      <c r="C51" s="44" t="str">
        <f>IF(B51="","",VLOOKUP(B51,ORÇAMENTO!$B$7:C87,2,0))</f>
        <v>ESTRUTURA</v>
      </c>
      <c r="D51" s="44" t="s">
        <v>104</v>
      </c>
      <c r="E51" s="44" t="str">
        <f>IF(D51="","",VLOOKUP(D51,ORÇAMENTO!$B$7:$E$73,2,0))</f>
        <v>Concreto 30 MPA</v>
      </c>
      <c r="F51" s="44" t="s">
        <v>29</v>
      </c>
      <c r="G51" s="44" t="s">
        <v>239</v>
      </c>
      <c r="H51" s="45">
        <v>2</v>
      </c>
      <c r="I51" s="46">
        <v>0.1</v>
      </c>
      <c r="J51" s="46">
        <v>0.4</v>
      </c>
      <c r="K51" s="47">
        <v>7.05</v>
      </c>
      <c r="L51" s="48">
        <f t="shared" si="1"/>
        <v>2.8200000000000003</v>
      </c>
    </row>
    <row r="52" spans="2:12" s="2" customFormat="1" ht="11.25" x14ac:dyDescent="0.2">
      <c r="B52" s="43" t="s">
        <v>10</v>
      </c>
      <c r="C52" s="44" t="str">
        <f>IF(B52="","",VLOOKUP(B52,ORÇAMENTO!$B$7:C88,2,0))</f>
        <v>ESTRUTURA</v>
      </c>
      <c r="D52" s="44" t="s">
        <v>104</v>
      </c>
      <c r="E52" s="44" t="str">
        <f>IF(D52="","",VLOOKUP(D52,ORÇAMENTO!$B$7:$E$73,2,0))</f>
        <v>Concreto 30 MPA</v>
      </c>
      <c r="F52" s="44" t="s">
        <v>29</v>
      </c>
      <c r="G52" s="44" t="s">
        <v>239</v>
      </c>
      <c r="H52" s="45">
        <v>4</v>
      </c>
      <c r="I52" s="46">
        <v>0.1</v>
      </c>
      <c r="J52" s="46">
        <v>0.4</v>
      </c>
      <c r="K52" s="47">
        <v>3</v>
      </c>
      <c r="L52" s="48">
        <f t="shared" si="1"/>
        <v>2.4000000000000004</v>
      </c>
    </row>
    <row r="53" spans="2:12" s="2" customFormat="1" ht="11.25" x14ac:dyDescent="0.2">
      <c r="B53" s="43" t="s">
        <v>10</v>
      </c>
      <c r="C53" s="44" t="str">
        <f>IF(B53="","",VLOOKUP(B53,ORÇAMENTO!$B$7:C89,2,0))</f>
        <v>ESTRUTURA</v>
      </c>
      <c r="D53" s="44" t="s">
        <v>104</v>
      </c>
      <c r="E53" s="44" t="str">
        <f>IF(D53="","",VLOOKUP(D53,ORÇAMENTO!$B$7:$E$73,2,0))</f>
        <v>Concreto 30 MPA</v>
      </c>
      <c r="F53" s="44" t="s">
        <v>29</v>
      </c>
      <c r="G53" s="44" t="s">
        <v>239</v>
      </c>
      <c r="H53" s="45">
        <v>3</v>
      </c>
      <c r="I53" s="46">
        <v>0.3</v>
      </c>
      <c r="J53" s="46">
        <v>0.4</v>
      </c>
      <c r="K53" s="47">
        <v>9.6199999999999992</v>
      </c>
      <c r="L53" s="48">
        <f t="shared" si="1"/>
        <v>17.315999999999999</v>
      </c>
    </row>
    <row r="54" spans="2:12" s="2" customFormat="1" ht="11.25" x14ac:dyDescent="0.2">
      <c r="B54" s="43" t="s">
        <v>10</v>
      </c>
      <c r="C54" s="44" t="str">
        <f>IF(B54="","",VLOOKUP(B54,ORÇAMENTO!$B$7:C90,2,0))</f>
        <v>ESTRUTURA</v>
      </c>
      <c r="D54" s="44" t="s">
        <v>104</v>
      </c>
      <c r="E54" s="44" t="str">
        <f>IF(D54="","",VLOOKUP(D54,ORÇAMENTO!$B$7:$E$73,2,0))</f>
        <v>Concreto 30 MPA</v>
      </c>
      <c r="F54" s="44" t="s">
        <v>29</v>
      </c>
      <c r="G54" s="44" t="s">
        <v>239</v>
      </c>
      <c r="H54" s="45">
        <v>2</v>
      </c>
      <c r="I54" s="46">
        <v>0.2</v>
      </c>
      <c r="J54" s="46">
        <v>0.4</v>
      </c>
      <c r="K54" s="47">
        <v>7.9</v>
      </c>
      <c r="L54" s="48">
        <f t="shared" si="1"/>
        <v>6.3200000000000012</v>
      </c>
    </row>
    <row r="55" spans="2:12" s="2" customFormat="1" ht="11.25" x14ac:dyDescent="0.2">
      <c r="B55" s="43" t="s">
        <v>10</v>
      </c>
      <c r="C55" s="44" t="str">
        <f>IF(B55="","",VLOOKUP(B55,ORÇAMENTO!$B$7:C93,2,0))</f>
        <v>ESTRUTURA</v>
      </c>
      <c r="D55" s="44" t="s">
        <v>104</v>
      </c>
      <c r="E55" s="44" t="str">
        <f>IF(D55="","",VLOOKUP(D55,ORÇAMENTO!$B$7:$E$73,2,0))</f>
        <v>Concreto 30 MPA</v>
      </c>
      <c r="F55" s="44" t="s">
        <v>29</v>
      </c>
      <c r="G55" s="44" t="s">
        <v>239</v>
      </c>
      <c r="H55" s="45">
        <v>2</v>
      </c>
      <c r="I55" s="46">
        <v>0.14000000000000001</v>
      </c>
      <c r="J55" s="46">
        <v>0.4</v>
      </c>
      <c r="K55" s="47">
        <v>2.6</v>
      </c>
      <c r="L55" s="48">
        <f t="shared" si="1"/>
        <v>1.4560000000000004</v>
      </c>
    </row>
    <row r="56" spans="2:12" s="2" customFormat="1" ht="11.25" x14ac:dyDescent="0.2">
      <c r="B56" s="43" t="s">
        <v>10</v>
      </c>
      <c r="C56" s="44" t="str">
        <f>IF(B56="","",VLOOKUP(B56,ORÇAMENTO!$B$7:C94,2,0))</f>
        <v>ESTRUTURA</v>
      </c>
      <c r="D56" s="44" t="s">
        <v>104</v>
      </c>
      <c r="E56" s="44" t="str">
        <f>IF(D56="","",VLOOKUP(D56,ORÇAMENTO!$B$7:$E$73,2,0))</f>
        <v>Concreto 30 MPA</v>
      </c>
      <c r="F56" s="44" t="s">
        <v>29</v>
      </c>
      <c r="G56" s="44" t="s">
        <v>239</v>
      </c>
      <c r="H56" s="45">
        <v>1</v>
      </c>
      <c r="I56" s="46">
        <v>0.2</v>
      </c>
      <c r="J56" s="46">
        <v>0.4</v>
      </c>
      <c r="K56" s="47">
        <v>6.82</v>
      </c>
      <c r="L56" s="48">
        <f t="shared" si="1"/>
        <v>2.7280000000000006</v>
      </c>
    </row>
    <row r="57" spans="2:12" s="2" customFormat="1" ht="11.25" x14ac:dyDescent="0.2">
      <c r="B57" s="43" t="s">
        <v>10</v>
      </c>
      <c r="C57" s="44" t="str">
        <f>IF(B57="","",VLOOKUP(B57,ORÇAMENTO!$B$7:C95,2,0))</f>
        <v>ESTRUTURA</v>
      </c>
      <c r="D57" s="44" t="s">
        <v>104</v>
      </c>
      <c r="E57" s="44" t="str">
        <f>IF(D57="","",VLOOKUP(D57,ORÇAMENTO!$B$7:$E$73,2,0))</f>
        <v>Concreto 30 MPA</v>
      </c>
      <c r="F57" s="44" t="s">
        <v>29</v>
      </c>
      <c r="G57" s="44" t="s">
        <v>239</v>
      </c>
      <c r="H57" s="45">
        <v>2</v>
      </c>
      <c r="I57" s="46">
        <v>0.14000000000000001</v>
      </c>
      <c r="J57" s="46">
        <v>0.4</v>
      </c>
      <c r="K57" s="47">
        <v>19.8</v>
      </c>
      <c r="L57" s="48">
        <f t="shared" si="1"/>
        <v>11.088000000000003</v>
      </c>
    </row>
    <row r="58" spans="2:12" s="2" customFormat="1" ht="11.25" x14ac:dyDescent="0.2">
      <c r="B58" s="43" t="s">
        <v>10</v>
      </c>
      <c r="C58" s="44" t="str">
        <f>IF(B58="","",VLOOKUP(B58,ORÇAMENTO!$B$7:C96,2,0))</f>
        <v>ESTRUTURA</v>
      </c>
      <c r="D58" s="44" t="s">
        <v>104</v>
      </c>
      <c r="E58" s="44" t="str">
        <f>IF(D58="","",VLOOKUP(D58,ORÇAMENTO!$B$7:$E$73,2,0))</f>
        <v>Concreto 30 MPA</v>
      </c>
      <c r="F58" s="44" t="s">
        <v>29</v>
      </c>
      <c r="G58" s="44" t="s">
        <v>239</v>
      </c>
      <c r="H58" s="45">
        <v>2</v>
      </c>
      <c r="I58" s="46">
        <v>0.14000000000000001</v>
      </c>
      <c r="J58" s="46">
        <v>0.4</v>
      </c>
      <c r="K58" s="47">
        <v>3.8</v>
      </c>
      <c r="L58" s="48">
        <f t="shared" si="1"/>
        <v>2.1280000000000001</v>
      </c>
    </row>
    <row r="59" spans="2:12" s="2" customFormat="1" ht="11.25" x14ac:dyDescent="0.2">
      <c r="B59" s="43" t="s">
        <v>10</v>
      </c>
      <c r="C59" s="44" t="str">
        <f>IF(B59="","",VLOOKUP(B59,ORÇAMENTO!$B$7:C97,2,0))</f>
        <v>ESTRUTURA</v>
      </c>
      <c r="D59" s="44" t="s">
        <v>104</v>
      </c>
      <c r="E59" s="44" t="str">
        <f>IF(D59="","",VLOOKUP(D59,ORÇAMENTO!$B$7:$E$73,2,0))</f>
        <v>Concreto 30 MPA</v>
      </c>
      <c r="F59" s="44" t="s">
        <v>29</v>
      </c>
      <c r="G59" s="44" t="s">
        <v>239</v>
      </c>
      <c r="H59" s="45">
        <v>1</v>
      </c>
      <c r="I59" s="46">
        <v>0.14000000000000001</v>
      </c>
      <c r="J59" s="46">
        <v>0.4</v>
      </c>
      <c r="K59" s="47">
        <v>5.95</v>
      </c>
      <c r="L59" s="48">
        <f t="shared" si="1"/>
        <v>1.6660000000000004</v>
      </c>
    </row>
    <row r="60" spans="2:12" s="2" customFormat="1" ht="11.25" x14ac:dyDescent="0.2">
      <c r="B60" s="43" t="s">
        <v>10</v>
      </c>
      <c r="C60" s="44" t="str">
        <f>IF(B60="","",VLOOKUP(B60,ORÇAMENTO!$B$7:C98,2,0))</f>
        <v>ESTRUTURA</v>
      </c>
      <c r="D60" s="44" t="s">
        <v>104</v>
      </c>
      <c r="E60" s="44" t="str">
        <f>IF(D60="","",VLOOKUP(D60,ORÇAMENTO!$B$7:$E$73,2,0))</f>
        <v>Concreto 30 MPA</v>
      </c>
      <c r="F60" s="44" t="s">
        <v>29</v>
      </c>
      <c r="G60" s="44" t="s">
        <v>240</v>
      </c>
      <c r="H60" s="45">
        <v>1</v>
      </c>
      <c r="I60" s="46">
        <v>0.15</v>
      </c>
      <c r="J60" s="46">
        <v>1</v>
      </c>
      <c r="K60" s="47">
        <v>212.5</v>
      </c>
      <c r="L60" s="48">
        <f t="shared" si="1"/>
        <v>159.375</v>
      </c>
    </row>
    <row r="61" spans="2:12" s="2" customFormat="1" ht="11.25" x14ac:dyDescent="0.2">
      <c r="B61" s="43" t="s">
        <v>10</v>
      </c>
      <c r="C61" s="44" t="str">
        <f>IF(B61="","",VLOOKUP(B61,ORÇAMENTO!$B$7:C81,2,0))</f>
        <v>ESTRUTURA</v>
      </c>
      <c r="D61" s="44" t="s">
        <v>104</v>
      </c>
      <c r="E61" s="44" t="str">
        <f>IF(D61="","",VLOOKUP(D61,ORÇAMENTO!$B$7:$E$73,2,0))</f>
        <v>Concreto 30 MPA</v>
      </c>
      <c r="F61" s="44" t="s">
        <v>34</v>
      </c>
      <c r="G61" s="44" t="s">
        <v>32</v>
      </c>
      <c r="H61" s="45">
        <v>2</v>
      </c>
      <c r="I61" s="46">
        <v>0.8</v>
      </c>
      <c r="J61" s="46">
        <v>0.25</v>
      </c>
      <c r="K61" s="47">
        <v>2.6</v>
      </c>
      <c r="L61" s="48">
        <f t="shared" si="1"/>
        <v>5.2</v>
      </c>
    </row>
    <row r="62" spans="2:12" s="2" customFormat="1" ht="11.25" x14ac:dyDescent="0.2">
      <c r="B62" s="43" t="s">
        <v>10</v>
      </c>
      <c r="C62" s="44" t="str">
        <f>IF(B62="","",VLOOKUP(B62,ORÇAMENTO!$B$7:C82,2,0))</f>
        <v>ESTRUTURA</v>
      </c>
      <c r="D62" s="44" t="s">
        <v>104</v>
      </c>
      <c r="E62" s="44" t="str">
        <f>IF(D62="","",VLOOKUP(D62,ORÇAMENTO!$B$7:$E$73,2,0))</f>
        <v>Concreto 30 MPA</v>
      </c>
      <c r="F62" s="44" t="s">
        <v>34</v>
      </c>
      <c r="G62" s="44" t="s">
        <v>32</v>
      </c>
      <c r="H62" s="45">
        <v>7</v>
      </c>
      <c r="I62" s="46">
        <v>0.6</v>
      </c>
      <c r="J62" s="46">
        <v>0.25</v>
      </c>
      <c r="K62" s="47">
        <v>2.6</v>
      </c>
      <c r="L62" s="48">
        <f t="shared" si="1"/>
        <v>13.650000000000002</v>
      </c>
    </row>
    <row r="63" spans="2:12" s="2" customFormat="1" ht="11.25" x14ac:dyDescent="0.2">
      <c r="B63" s="43" t="s">
        <v>10</v>
      </c>
      <c r="C63" s="44" t="str">
        <f>IF(B63="","",VLOOKUP(B63,ORÇAMENTO!$B$7:C83,2,0))</f>
        <v>ESTRUTURA</v>
      </c>
      <c r="D63" s="44" t="s">
        <v>104</v>
      </c>
      <c r="E63" s="44" t="str">
        <f>IF(D63="","",VLOOKUP(D63,ORÇAMENTO!$B$7:$E$73,2,0))</f>
        <v>Concreto 30 MPA</v>
      </c>
      <c r="F63" s="44" t="s">
        <v>34</v>
      </c>
      <c r="G63" s="44" t="s">
        <v>32</v>
      </c>
      <c r="H63" s="45">
        <v>2</v>
      </c>
      <c r="I63" s="46">
        <v>0.2</v>
      </c>
      <c r="J63" s="46">
        <v>1.83</v>
      </c>
      <c r="K63" s="47">
        <v>2.6</v>
      </c>
      <c r="L63" s="48">
        <f t="shared" si="1"/>
        <v>9.5160000000000018</v>
      </c>
    </row>
    <row r="64" spans="2:12" s="2" customFormat="1" ht="11.25" x14ac:dyDescent="0.2">
      <c r="B64" s="43" t="s">
        <v>10</v>
      </c>
      <c r="C64" s="44" t="str">
        <f>IF(B64="","",VLOOKUP(B64,ORÇAMENTO!$B$7:C84,2,0))</f>
        <v>ESTRUTURA</v>
      </c>
      <c r="D64" s="44" t="s">
        <v>104</v>
      </c>
      <c r="E64" s="44" t="str">
        <f>IF(D64="","",VLOOKUP(D64,ORÇAMENTO!$B$7:$E$73,2,0))</f>
        <v>Concreto 30 MPA</v>
      </c>
      <c r="F64" s="44" t="s">
        <v>34</v>
      </c>
      <c r="G64" s="44" t="s">
        <v>32</v>
      </c>
      <c r="H64" s="45">
        <v>1</v>
      </c>
      <c r="I64" s="46">
        <v>0.2</v>
      </c>
      <c r="J64" s="46">
        <v>0.7</v>
      </c>
      <c r="K64" s="47">
        <v>2.6</v>
      </c>
      <c r="L64" s="48">
        <f t="shared" si="1"/>
        <v>1.8199999999999998</v>
      </c>
    </row>
    <row r="65" spans="2:12" s="2" customFormat="1" ht="11.25" x14ac:dyDescent="0.2">
      <c r="B65" s="43" t="s">
        <v>10</v>
      </c>
      <c r="C65" s="44" t="str">
        <f>IF(B65="","",VLOOKUP(B65,ORÇAMENTO!$B$7:C85,2,0))</f>
        <v>ESTRUTURA</v>
      </c>
      <c r="D65" s="44" t="s">
        <v>104</v>
      </c>
      <c r="E65" s="44" t="str">
        <f>IF(D65="","",VLOOKUP(D65,ORÇAMENTO!$B$7:$E$73,2,0))</f>
        <v>Concreto 30 MPA</v>
      </c>
      <c r="F65" s="44" t="s">
        <v>34</v>
      </c>
      <c r="G65" s="44" t="s">
        <v>32</v>
      </c>
      <c r="H65" s="45">
        <v>1</v>
      </c>
      <c r="I65" s="46">
        <v>0.5</v>
      </c>
      <c r="J65" s="46">
        <v>0.25</v>
      </c>
      <c r="K65" s="47">
        <v>2.6</v>
      </c>
      <c r="L65" s="48">
        <f t="shared" si="1"/>
        <v>1.625</v>
      </c>
    </row>
    <row r="66" spans="2:12" s="2" customFormat="1" ht="11.25" x14ac:dyDescent="0.2">
      <c r="B66" s="43" t="s">
        <v>10</v>
      </c>
      <c r="C66" s="44" t="str">
        <f>IF(B66="","",VLOOKUP(B66,ORÇAMENTO!$B$7:C86,2,0))</f>
        <v>ESTRUTURA</v>
      </c>
      <c r="D66" s="44" t="s">
        <v>104</v>
      </c>
      <c r="E66" s="44" t="str">
        <f>IF(D66="","",VLOOKUP(D66,ORÇAMENTO!$B$7:$E$73,2,0))</f>
        <v>Concreto 30 MPA</v>
      </c>
      <c r="F66" s="44" t="s">
        <v>34</v>
      </c>
      <c r="G66" s="44" t="s">
        <v>239</v>
      </c>
      <c r="H66" s="45">
        <v>2</v>
      </c>
      <c r="I66" s="46">
        <v>0.1</v>
      </c>
      <c r="J66" s="46">
        <v>0.4</v>
      </c>
      <c r="K66" s="47">
        <v>7.05</v>
      </c>
      <c r="L66" s="48">
        <f t="shared" si="1"/>
        <v>2.8200000000000003</v>
      </c>
    </row>
    <row r="67" spans="2:12" s="2" customFormat="1" ht="11.25" x14ac:dyDescent="0.2">
      <c r="B67" s="43" t="s">
        <v>10</v>
      </c>
      <c r="C67" s="44" t="str">
        <f>IF(B67="","",VLOOKUP(B67,ORÇAMENTO!$B$7:C87,2,0))</f>
        <v>ESTRUTURA</v>
      </c>
      <c r="D67" s="44" t="s">
        <v>104</v>
      </c>
      <c r="E67" s="44" t="str">
        <f>IF(D67="","",VLOOKUP(D67,ORÇAMENTO!$B$7:$E$73,2,0))</f>
        <v>Concreto 30 MPA</v>
      </c>
      <c r="F67" s="44" t="s">
        <v>34</v>
      </c>
      <c r="G67" s="44" t="s">
        <v>239</v>
      </c>
      <c r="H67" s="45">
        <v>4</v>
      </c>
      <c r="I67" s="46">
        <v>0.1</v>
      </c>
      <c r="J67" s="46">
        <v>0.4</v>
      </c>
      <c r="K67" s="47">
        <v>3</v>
      </c>
      <c r="L67" s="48">
        <f t="shared" si="1"/>
        <v>2.4000000000000004</v>
      </c>
    </row>
    <row r="68" spans="2:12" s="2" customFormat="1" ht="11.25" x14ac:dyDescent="0.2">
      <c r="B68" s="43" t="s">
        <v>10</v>
      </c>
      <c r="C68" s="44" t="str">
        <f>IF(B68="","",VLOOKUP(B68,ORÇAMENTO!$B$7:C88,2,0))</f>
        <v>ESTRUTURA</v>
      </c>
      <c r="D68" s="44" t="s">
        <v>104</v>
      </c>
      <c r="E68" s="44" t="str">
        <f>IF(D68="","",VLOOKUP(D68,ORÇAMENTO!$B$7:$E$73,2,0))</f>
        <v>Concreto 30 MPA</v>
      </c>
      <c r="F68" s="44" t="s">
        <v>34</v>
      </c>
      <c r="G68" s="44" t="s">
        <v>239</v>
      </c>
      <c r="H68" s="45">
        <v>3</v>
      </c>
      <c r="I68" s="46">
        <v>0.3</v>
      </c>
      <c r="J68" s="46">
        <v>0.4</v>
      </c>
      <c r="K68" s="47">
        <v>9.6199999999999992</v>
      </c>
      <c r="L68" s="48">
        <f t="shared" si="1"/>
        <v>17.315999999999999</v>
      </c>
    </row>
    <row r="69" spans="2:12" s="2" customFormat="1" ht="11.25" x14ac:dyDescent="0.2">
      <c r="B69" s="43" t="s">
        <v>10</v>
      </c>
      <c r="C69" s="44" t="str">
        <f>IF(B69="","",VLOOKUP(B69,ORÇAMENTO!$B$7:C89,2,0))</f>
        <v>ESTRUTURA</v>
      </c>
      <c r="D69" s="44" t="s">
        <v>104</v>
      </c>
      <c r="E69" s="44" t="str">
        <f>IF(D69="","",VLOOKUP(D69,ORÇAMENTO!$B$7:$E$73,2,0))</f>
        <v>Concreto 30 MPA</v>
      </c>
      <c r="F69" s="44" t="s">
        <v>34</v>
      </c>
      <c r="G69" s="44" t="s">
        <v>239</v>
      </c>
      <c r="H69" s="45">
        <v>2</v>
      </c>
      <c r="I69" s="46">
        <v>0.2</v>
      </c>
      <c r="J69" s="46">
        <v>0.4</v>
      </c>
      <c r="K69" s="47">
        <v>7.9</v>
      </c>
      <c r="L69" s="48">
        <f t="shared" si="1"/>
        <v>6.3200000000000012</v>
      </c>
    </row>
    <row r="70" spans="2:12" s="2" customFormat="1" ht="11.25" x14ac:dyDescent="0.2">
      <c r="B70" s="43" t="s">
        <v>10</v>
      </c>
      <c r="C70" s="44" t="str">
        <f>IF(B70="","",VLOOKUP(B70,ORÇAMENTO!$B$7:C90,2,0))</f>
        <v>ESTRUTURA</v>
      </c>
      <c r="D70" s="44" t="s">
        <v>104</v>
      </c>
      <c r="E70" s="44" t="str">
        <f>IF(D70="","",VLOOKUP(D70,ORÇAMENTO!$B$7:$E$73,2,0))</f>
        <v>Concreto 30 MPA</v>
      </c>
      <c r="F70" s="44" t="s">
        <v>34</v>
      </c>
      <c r="G70" s="44" t="s">
        <v>239</v>
      </c>
      <c r="H70" s="45">
        <v>2</v>
      </c>
      <c r="I70" s="46">
        <v>0.14000000000000001</v>
      </c>
      <c r="J70" s="46">
        <v>0.4</v>
      </c>
      <c r="K70" s="47">
        <v>2.6</v>
      </c>
      <c r="L70" s="48">
        <f t="shared" si="1"/>
        <v>1.4560000000000004</v>
      </c>
    </row>
    <row r="71" spans="2:12" s="2" customFormat="1" ht="11.25" x14ac:dyDescent="0.2">
      <c r="B71" s="43" t="s">
        <v>10</v>
      </c>
      <c r="C71" s="44" t="str">
        <f>IF(B71="","",VLOOKUP(B71,ORÇAMENTO!$B$7:C91,2,0))</f>
        <v>ESTRUTURA</v>
      </c>
      <c r="D71" s="44" t="s">
        <v>104</v>
      </c>
      <c r="E71" s="44" t="str">
        <f>IF(D71="","",VLOOKUP(D71,ORÇAMENTO!$B$7:$E$73,2,0))</f>
        <v>Concreto 30 MPA</v>
      </c>
      <c r="F71" s="44" t="s">
        <v>34</v>
      </c>
      <c r="G71" s="44" t="s">
        <v>239</v>
      </c>
      <c r="H71" s="45">
        <v>1</v>
      </c>
      <c r="I71" s="46">
        <v>0.2</v>
      </c>
      <c r="J71" s="46">
        <v>0.4</v>
      </c>
      <c r="K71" s="47">
        <v>6.82</v>
      </c>
      <c r="L71" s="48">
        <f t="shared" si="1"/>
        <v>2.7280000000000006</v>
      </c>
    </row>
    <row r="72" spans="2:12" s="2" customFormat="1" ht="11.25" x14ac:dyDescent="0.2">
      <c r="B72" s="43" t="s">
        <v>10</v>
      </c>
      <c r="C72" s="44" t="str">
        <f>IF(B72="","",VLOOKUP(B72,ORÇAMENTO!$B$7:C92,2,0))</f>
        <v>ESTRUTURA</v>
      </c>
      <c r="D72" s="44" t="s">
        <v>104</v>
      </c>
      <c r="E72" s="44" t="str">
        <f>IF(D72="","",VLOOKUP(D72,ORÇAMENTO!$B$7:$E$73,2,0))</f>
        <v>Concreto 30 MPA</v>
      </c>
      <c r="F72" s="44" t="s">
        <v>34</v>
      </c>
      <c r="G72" s="44" t="s">
        <v>239</v>
      </c>
      <c r="H72" s="45">
        <v>2</v>
      </c>
      <c r="I72" s="46">
        <v>0.14000000000000001</v>
      </c>
      <c r="J72" s="46">
        <v>0.4</v>
      </c>
      <c r="K72" s="47">
        <v>19.8</v>
      </c>
      <c r="L72" s="48">
        <f t="shared" si="1"/>
        <v>11.088000000000003</v>
      </c>
    </row>
    <row r="73" spans="2:12" s="2" customFormat="1" ht="11.25" x14ac:dyDescent="0.2">
      <c r="B73" s="43" t="s">
        <v>10</v>
      </c>
      <c r="C73" s="44" t="str">
        <f>IF(B73="","",VLOOKUP(B73,ORÇAMENTO!$B$7:C93,2,0))</f>
        <v>ESTRUTURA</v>
      </c>
      <c r="D73" s="44" t="s">
        <v>104</v>
      </c>
      <c r="E73" s="44" t="str">
        <f>IF(D73="","",VLOOKUP(D73,ORÇAMENTO!$B$7:$E$73,2,0))</f>
        <v>Concreto 30 MPA</v>
      </c>
      <c r="F73" s="44" t="s">
        <v>34</v>
      </c>
      <c r="G73" s="44" t="s">
        <v>239</v>
      </c>
      <c r="H73" s="45">
        <v>2</v>
      </c>
      <c r="I73" s="46">
        <v>0.14000000000000001</v>
      </c>
      <c r="J73" s="46">
        <v>0.4</v>
      </c>
      <c r="K73" s="47">
        <v>3.8</v>
      </c>
      <c r="L73" s="48">
        <f t="shared" si="1"/>
        <v>2.1280000000000001</v>
      </c>
    </row>
    <row r="74" spans="2:12" s="2" customFormat="1" ht="11.25" x14ac:dyDescent="0.2">
      <c r="B74" s="43" t="s">
        <v>10</v>
      </c>
      <c r="C74" s="44" t="str">
        <f>IF(B74="","",VLOOKUP(B74,ORÇAMENTO!$B$7:C94,2,0))</f>
        <v>ESTRUTURA</v>
      </c>
      <c r="D74" s="44" t="s">
        <v>104</v>
      </c>
      <c r="E74" s="44" t="str">
        <f>IF(D74="","",VLOOKUP(D74,ORÇAMENTO!$B$7:$E$73,2,0))</f>
        <v>Concreto 30 MPA</v>
      </c>
      <c r="F74" s="44" t="s">
        <v>34</v>
      </c>
      <c r="G74" s="44" t="s">
        <v>239</v>
      </c>
      <c r="H74" s="45">
        <v>1</v>
      </c>
      <c r="I74" s="46">
        <v>0.14000000000000001</v>
      </c>
      <c r="J74" s="46">
        <v>0.4</v>
      </c>
      <c r="K74" s="47">
        <v>5.95</v>
      </c>
      <c r="L74" s="48">
        <f t="shared" si="1"/>
        <v>1.6660000000000004</v>
      </c>
    </row>
    <row r="75" spans="2:12" s="2" customFormat="1" ht="11.25" x14ac:dyDescent="0.2">
      <c r="B75" s="43" t="s">
        <v>10</v>
      </c>
      <c r="C75" s="44" t="str">
        <f>IF(B75="","",VLOOKUP(B75,ORÇAMENTO!$B$7:C95,2,0))</f>
        <v>ESTRUTURA</v>
      </c>
      <c r="D75" s="44" t="s">
        <v>104</v>
      </c>
      <c r="E75" s="44" t="str">
        <f>IF(D75="","",VLOOKUP(D75,ORÇAMENTO!$B$7:$E$73,2,0))</f>
        <v>Concreto 30 MPA</v>
      </c>
      <c r="F75" s="44" t="s">
        <v>34</v>
      </c>
      <c r="G75" s="44" t="s">
        <v>240</v>
      </c>
      <c r="H75" s="45">
        <v>1</v>
      </c>
      <c r="I75" s="46">
        <v>0.15</v>
      </c>
      <c r="J75" s="46">
        <v>1</v>
      </c>
      <c r="K75" s="47">
        <v>212.5</v>
      </c>
      <c r="L75" s="48">
        <f t="shared" si="1"/>
        <v>159.375</v>
      </c>
    </row>
    <row r="76" spans="2:12" s="2" customFormat="1" ht="11.25" x14ac:dyDescent="0.2">
      <c r="B76" s="43" t="s">
        <v>10</v>
      </c>
      <c r="C76" s="44" t="str">
        <f>IF(B76="","",VLOOKUP(B76,ORÇAMENTO!$B$7:C84,2,0))</f>
        <v>ESTRUTURA</v>
      </c>
      <c r="D76" s="44" t="s">
        <v>104</v>
      </c>
      <c r="E76" s="44" t="str">
        <f>IF(D76="","",VLOOKUP(D76,ORÇAMENTO!$B$7:$E$73,2,0))</f>
        <v>Concreto 30 MPA</v>
      </c>
      <c r="F76" s="44" t="s">
        <v>15</v>
      </c>
      <c r="G76" s="44" t="s">
        <v>32</v>
      </c>
      <c r="H76" s="45">
        <v>4</v>
      </c>
      <c r="I76" s="46">
        <v>0.6</v>
      </c>
      <c r="J76" s="46">
        <v>0.2</v>
      </c>
      <c r="K76" s="47">
        <v>2.6</v>
      </c>
      <c r="L76" s="48">
        <f t="shared" ref="L76:L90" si="2">K76*J76*I76*H76</f>
        <v>1.248</v>
      </c>
    </row>
    <row r="77" spans="2:12" s="2" customFormat="1" ht="11.25" x14ac:dyDescent="0.2">
      <c r="B77" s="43" t="s">
        <v>10</v>
      </c>
      <c r="C77" s="44" t="str">
        <f>IF(B77="","",VLOOKUP(B77,ORÇAMENTO!$B$7:C85,2,0))</f>
        <v>ESTRUTURA</v>
      </c>
      <c r="D77" s="44" t="s">
        <v>104</v>
      </c>
      <c r="E77" s="44" t="str">
        <f>IF(D77="","",VLOOKUP(D77,ORÇAMENTO!$B$7:$E$73,2,0))</f>
        <v>Concreto 30 MPA</v>
      </c>
      <c r="F77" s="44" t="s">
        <v>15</v>
      </c>
      <c r="G77" s="44" t="s">
        <v>32</v>
      </c>
      <c r="H77" s="45">
        <v>2</v>
      </c>
      <c r="I77" s="46">
        <v>0.2</v>
      </c>
      <c r="J77" s="46">
        <v>0.2</v>
      </c>
      <c r="K77" s="47">
        <v>2.6</v>
      </c>
      <c r="L77" s="48">
        <f t="shared" si="2"/>
        <v>0.20800000000000002</v>
      </c>
    </row>
    <row r="78" spans="2:12" s="2" customFormat="1" ht="11.25" x14ac:dyDescent="0.2">
      <c r="B78" s="43" t="s">
        <v>10</v>
      </c>
      <c r="C78" s="44" t="str">
        <f>IF(B78="","",VLOOKUP(B78,ORÇAMENTO!$B$7:C86,2,0))</f>
        <v>ESTRUTURA</v>
      </c>
      <c r="D78" s="44" t="s">
        <v>104</v>
      </c>
      <c r="E78" s="44" t="str">
        <f>IF(D78="","",VLOOKUP(D78,ORÇAMENTO!$B$7:$E$73,2,0))</f>
        <v>Concreto 30 MPA</v>
      </c>
      <c r="F78" s="44" t="s">
        <v>15</v>
      </c>
      <c r="G78" s="44" t="s">
        <v>32</v>
      </c>
      <c r="H78" s="45">
        <v>2</v>
      </c>
      <c r="I78" s="46">
        <v>0.5</v>
      </c>
      <c r="J78" s="46">
        <v>0.2</v>
      </c>
      <c r="K78" s="47">
        <v>2.6</v>
      </c>
      <c r="L78" s="48">
        <f t="shared" si="2"/>
        <v>0.52</v>
      </c>
    </row>
    <row r="79" spans="2:12" s="2" customFormat="1" ht="11.25" x14ac:dyDescent="0.2">
      <c r="B79" s="43" t="s">
        <v>10</v>
      </c>
      <c r="C79" s="44" t="str">
        <f>IF(B79="","",VLOOKUP(B79,ORÇAMENTO!$B$7:C87,2,0))</f>
        <v>ESTRUTURA</v>
      </c>
      <c r="D79" s="44" t="s">
        <v>104</v>
      </c>
      <c r="E79" s="44" t="str">
        <f>IF(D79="","",VLOOKUP(D79,ORÇAMENTO!$B$7:$E$73,2,0))</f>
        <v>Concreto 30 MPA</v>
      </c>
      <c r="F79" s="44" t="s">
        <v>15</v>
      </c>
      <c r="G79" s="44" t="s">
        <v>32</v>
      </c>
      <c r="H79" s="45">
        <v>1</v>
      </c>
      <c r="I79" s="46">
        <v>1.83</v>
      </c>
      <c r="J79" s="46">
        <v>0.2</v>
      </c>
      <c r="K79" s="47">
        <v>2.6</v>
      </c>
      <c r="L79" s="48">
        <f t="shared" si="2"/>
        <v>0.95160000000000011</v>
      </c>
    </row>
    <row r="80" spans="2:12" s="2" customFormat="1" ht="11.25" x14ac:dyDescent="0.2">
      <c r="B80" s="43" t="s">
        <v>10</v>
      </c>
      <c r="C80" s="44" t="str">
        <f>IF(B80="","",VLOOKUP(B80,ORÇAMENTO!$B$7:C88,2,0))</f>
        <v>ESTRUTURA</v>
      </c>
      <c r="D80" s="44" t="s">
        <v>104</v>
      </c>
      <c r="E80" s="44" t="str">
        <f>IF(D80="","",VLOOKUP(D80,ORÇAMENTO!$B$7:$E$73,2,0))</f>
        <v>Concreto 30 MPA</v>
      </c>
      <c r="F80" s="44" t="s">
        <v>15</v>
      </c>
      <c r="G80" s="44" t="s">
        <v>32</v>
      </c>
      <c r="H80" s="45">
        <v>1</v>
      </c>
      <c r="I80" s="46">
        <v>1.6</v>
      </c>
      <c r="J80" s="46">
        <v>0.2</v>
      </c>
      <c r="K80" s="47">
        <v>2.6</v>
      </c>
      <c r="L80" s="48">
        <f t="shared" si="2"/>
        <v>0.83200000000000007</v>
      </c>
    </row>
    <row r="81" spans="2:12" s="2" customFormat="1" ht="11.25" x14ac:dyDescent="0.2">
      <c r="B81" s="43" t="s">
        <v>10</v>
      </c>
      <c r="C81" s="44" t="str">
        <f>IF(B81="","",VLOOKUP(B81,ORÇAMENTO!$B$7:C89,2,0))</f>
        <v>ESTRUTURA</v>
      </c>
      <c r="D81" s="44" t="s">
        <v>104</v>
      </c>
      <c r="E81" s="44" t="str">
        <f>IF(D81="","",VLOOKUP(D81,ORÇAMENTO!$B$7:$E$73,2,0))</f>
        <v>Concreto 30 MPA</v>
      </c>
      <c r="F81" s="44" t="s">
        <v>15</v>
      </c>
      <c r="G81" s="44" t="s">
        <v>239</v>
      </c>
      <c r="H81" s="45">
        <v>1</v>
      </c>
      <c r="I81" s="46">
        <v>0.14000000000000001</v>
      </c>
      <c r="J81" s="46">
        <v>0.4</v>
      </c>
      <c r="K81" s="47">
        <v>7.12</v>
      </c>
      <c r="L81" s="48">
        <f t="shared" si="2"/>
        <v>0.39872000000000007</v>
      </c>
    </row>
    <row r="82" spans="2:12" s="2" customFormat="1" ht="11.25" x14ac:dyDescent="0.2">
      <c r="B82" s="43" t="s">
        <v>10</v>
      </c>
      <c r="C82" s="44" t="str">
        <f>IF(B82="","",VLOOKUP(B82,ORÇAMENTO!$B$7:C90,2,0))</f>
        <v>ESTRUTURA</v>
      </c>
      <c r="D82" s="44" t="s">
        <v>104</v>
      </c>
      <c r="E82" s="44" t="str">
        <f>IF(D82="","",VLOOKUP(D82,ORÇAMENTO!$B$7:$E$73,2,0))</f>
        <v>Concreto 30 MPA</v>
      </c>
      <c r="F82" s="44" t="s">
        <v>15</v>
      </c>
      <c r="G82" s="44" t="s">
        <v>239</v>
      </c>
      <c r="H82" s="45">
        <v>1</v>
      </c>
      <c r="I82" s="46">
        <v>0.14000000000000001</v>
      </c>
      <c r="J82" s="46">
        <v>0.4</v>
      </c>
      <c r="K82" s="47">
        <v>2.65</v>
      </c>
      <c r="L82" s="48">
        <f t="shared" si="2"/>
        <v>0.14840000000000003</v>
      </c>
    </row>
    <row r="83" spans="2:12" s="2" customFormat="1" ht="11.25" x14ac:dyDescent="0.2">
      <c r="B83" s="43" t="s">
        <v>10</v>
      </c>
      <c r="C83" s="44" t="str">
        <f>IF(B83="","",VLOOKUP(B83,ORÇAMENTO!$B$7:C91,2,0))</f>
        <v>ESTRUTURA</v>
      </c>
      <c r="D83" s="44" t="s">
        <v>104</v>
      </c>
      <c r="E83" s="44" t="str">
        <f>IF(D83="","",VLOOKUP(D83,ORÇAMENTO!$B$7:$E$73,2,0))</f>
        <v>Concreto 30 MPA</v>
      </c>
      <c r="F83" s="44" t="s">
        <v>15</v>
      </c>
      <c r="G83" s="44" t="s">
        <v>239</v>
      </c>
      <c r="H83" s="45">
        <v>1</v>
      </c>
      <c r="I83" s="46">
        <v>0.14000000000000001</v>
      </c>
      <c r="J83" s="46">
        <v>0.4</v>
      </c>
      <c r="K83" s="47">
        <v>3.95</v>
      </c>
      <c r="L83" s="48">
        <f t="shared" si="2"/>
        <v>0.22120000000000004</v>
      </c>
    </row>
    <row r="84" spans="2:12" s="2" customFormat="1" ht="11.25" x14ac:dyDescent="0.2">
      <c r="B84" s="43" t="s">
        <v>10</v>
      </c>
      <c r="C84" s="44" t="str">
        <f>IF(B84="","",VLOOKUP(B84,ORÇAMENTO!$B$7:C92,2,0))</f>
        <v>ESTRUTURA</v>
      </c>
      <c r="D84" s="44" t="s">
        <v>104</v>
      </c>
      <c r="E84" s="44" t="str">
        <f>IF(D84="","",VLOOKUP(D84,ORÇAMENTO!$B$7:$E$73,2,0))</f>
        <v>Concreto 30 MPA</v>
      </c>
      <c r="F84" s="44" t="s">
        <v>15</v>
      </c>
      <c r="G84" s="44" t="s">
        <v>239</v>
      </c>
      <c r="H84" s="45">
        <v>1</v>
      </c>
      <c r="I84" s="46">
        <v>0.14000000000000001</v>
      </c>
      <c r="J84" s="46">
        <v>0.4</v>
      </c>
      <c r="K84" s="47">
        <v>4.7300000000000004</v>
      </c>
      <c r="L84" s="48">
        <f t="shared" si="2"/>
        <v>0.26488000000000006</v>
      </c>
    </row>
    <row r="85" spans="2:12" s="2" customFormat="1" ht="11.25" x14ac:dyDescent="0.2">
      <c r="B85" s="43" t="s">
        <v>10</v>
      </c>
      <c r="C85" s="44" t="str">
        <f>IF(B85="","",VLOOKUP(B85,ORÇAMENTO!$B$7:C93,2,0))</f>
        <v>ESTRUTURA</v>
      </c>
      <c r="D85" s="44" t="s">
        <v>104</v>
      </c>
      <c r="E85" s="44" t="str">
        <f>IF(D85="","",VLOOKUP(D85,ORÇAMENTO!$B$7:$E$73,2,0))</f>
        <v>Concreto 30 MPA</v>
      </c>
      <c r="F85" s="44" t="s">
        <v>15</v>
      </c>
      <c r="G85" s="44" t="s">
        <v>241</v>
      </c>
      <c r="H85" s="45">
        <v>1</v>
      </c>
      <c r="I85" s="46">
        <v>0.14000000000000001</v>
      </c>
      <c r="J85" s="46">
        <v>2.8</v>
      </c>
      <c r="K85" s="47">
        <v>16.25</v>
      </c>
      <c r="L85" s="48">
        <f t="shared" si="2"/>
        <v>6.370000000000001</v>
      </c>
    </row>
    <row r="86" spans="2:12" s="2" customFormat="1" ht="11.25" x14ac:dyDescent="0.2">
      <c r="B86" s="43" t="s">
        <v>10</v>
      </c>
      <c r="C86" s="44" t="str">
        <f>IF(B86="","",VLOOKUP(B86,ORÇAMENTO!$B$7:C94,2,0))</f>
        <v>ESTRUTURA</v>
      </c>
      <c r="D86" s="44" t="s">
        <v>104</v>
      </c>
      <c r="E86" s="44" t="str">
        <f>IF(D86="","",VLOOKUP(D86,ORÇAMENTO!$B$7:$E$73,2,0))</f>
        <v>Concreto 30 MPA</v>
      </c>
      <c r="F86" s="44" t="s">
        <v>15</v>
      </c>
      <c r="G86" s="44" t="s">
        <v>240</v>
      </c>
      <c r="H86" s="45">
        <v>1</v>
      </c>
      <c r="I86" s="46">
        <v>0.15</v>
      </c>
      <c r="J86" s="46">
        <v>1</v>
      </c>
      <c r="K86" s="47">
        <v>217.94</v>
      </c>
      <c r="L86" s="48">
        <f t="shared" si="2"/>
        <v>32.690999999999995</v>
      </c>
    </row>
    <row r="87" spans="2:12" s="2" customFormat="1" ht="11.25" x14ac:dyDescent="0.2">
      <c r="B87" s="43" t="s">
        <v>10</v>
      </c>
      <c r="C87" s="44" t="str">
        <f>IF(B87="","",VLOOKUP(B87,ORÇAMENTO!$B$7:C95,2,0))</f>
        <v>ESTRUTURA</v>
      </c>
      <c r="D87" s="44" t="s">
        <v>104</v>
      </c>
      <c r="E87" s="44" t="str">
        <f>IF(D87="","",VLOOKUP(D87,ORÇAMENTO!$B$7:$E$73,2,0))</f>
        <v>Concreto 30 MPA</v>
      </c>
      <c r="F87" s="44" t="s">
        <v>15</v>
      </c>
      <c r="G87" s="44" t="s">
        <v>240</v>
      </c>
      <c r="H87" s="45">
        <v>1</v>
      </c>
      <c r="I87" s="46">
        <v>0.15</v>
      </c>
      <c r="J87" s="46">
        <v>1</v>
      </c>
      <c r="K87" s="47">
        <v>72.53</v>
      </c>
      <c r="L87" s="48">
        <f t="shared" si="2"/>
        <v>10.8795</v>
      </c>
    </row>
    <row r="88" spans="2:12" s="2" customFormat="1" ht="11.25" x14ac:dyDescent="0.2">
      <c r="B88" s="43" t="s">
        <v>10</v>
      </c>
      <c r="C88" s="44" t="str">
        <f>IF(B88="","",VLOOKUP(B88,ORÇAMENTO!$B$7:C87,2,0))</f>
        <v>ESTRUTURA</v>
      </c>
      <c r="D88" s="44" t="s">
        <v>104</v>
      </c>
      <c r="E88" s="44" t="str">
        <f>IF(D88="","",VLOOKUP(D88,ORÇAMENTO!$B$7:$E$73,2,0))</f>
        <v>Concreto 30 MPA</v>
      </c>
      <c r="F88" s="44" t="s">
        <v>30</v>
      </c>
      <c r="G88" s="44" t="s">
        <v>32</v>
      </c>
      <c r="H88" s="45">
        <v>1</v>
      </c>
      <c r="I88" s="46">
        <v>1</v>
      </c>
      <c r="J88" s="46">
        <v>2.16</v>
      </c>
      <c r="K88" s="47">
        <v>2.8</v>
      </c>
      <c r="L88" s="48">
        <f t="shared" si="2"/>
        <v>6.048</v>
      </c>
    </row>
    <row r="89" spans="2:12" s="2" customFormat="1" ht="11.25" x14ac:dyDescent="0.2">
      <c r="B89" s="43" t="s">
        <v>10</v>
      </c>
      <c r="C89" s="44" t="str">
        <f>IF(B89="","",VLOOKUP(B89,ORÇAMENTO!$B$7:C88,2,0))</f>
        <v>ESTRUTURA</v>
      </c>
      <c r="D89" s="44" t="s">
        <v>104</v>
      </c>
      <c r="E89" s="44" t="str">
        <f>IF(D89="","",VLOOKUP(D89,ORÇAMENTO!$B$7:$E$73,2,0))</f>
        <v>Concreto 30 MPA</v>
      </c>
      <c r="F89" s="44" t="s">
        <v>30</v>
      </c>
      <c r="G89" s="44" t="s">
        <v>32</v>
      </c>
      <c r="H89" s="45">
        <v>12</v>
      </c>
      <c r="I89" s="46">
        <v>0.2</v>
      </c>
      <c r="J89" s="46">
        <v>0.3</v>
      </c>
      <c r="K89" s="47">
        <v>2.8</v>
      </c>
      <c r="L89" s="48">
        <f t="shared" si="2"/>
        <v>2.016</v>
      </c>
    </row>
    <row r="90" spans="2:12" s="2" customFormat="1" ht="11.25" x14ac:dyDescent="0.2">
      <c r="B90" s="43" t="s">
        <v>10</v>
      </c>
      <c r="C90" s="44" t="str">
        <f>IF(B90="","",VLOOKUP(B90,ORÇAMENTO!$B$7:C89,2,0))</f>
        <v>ESTRUTURA</v>
      </c>
      <c r="D90" s="44" t="s">
        <v>104</v>
      </c>
      <c r="E90" s="44" t="str">
        <f>IF(D90="","",VLOOKUP(D90,ORÇAMENTO!$B$7:$E$73,2,0))</f>
        <v>Concreto 30 MPA</v>
      </c>
      <c r="F90" s="44" t="s">
        <v>30</v>
      </c>
      <c r="G90" s="44" t="s">
        <v>33</v>
      </c>
      <c r="H90" s="45">
        <v>1</v>
      </c>
      <c r="I90" s="46">
        <v>7.2</v>
      </c>
      <c r="J90" s="46">
        <v>7.23</v>
      </c>
      <c r="K90" s="47">
        <v>0.15</v>
      </c>
      <c r="L90" s="48">
        <f t="shared" si="2"/>
        <v>7.8084000000000007</v>
      </c>
    </row>
    <row r="91" spans="2:12" s="2" customFormat="1" ht="11.25" x14ac:dyDescent="0.2">
      <c r="B91" s="43" t="s">
        <v>10</v>
      </c>
      <c r="C91" s="44" t="str">
        <f>IF(B91="","",VLOOKUP(B91,ORÇAMENTO!$B$7:C90,2,0))</f>
        <v>ESTRUTURA</v>
      </c>
      <c r="D91" s="44" t="s">
        <v>104</v>
      </c>
      <c r="E91" s="44" t="str">
        <f>IF(D91="","",VLOOKUP(D91,ORÇAMENTO!$B$7:$E$73,2,0))</f>
        <v>Concreto 30 MPA</v>
      </c>
      <c r="F91" s="44" t="s">
        <v>232</v>
      </c>
      <c r="G91" s="44" t="s">
        <v>233</v>
      </c>
      <c r="H91" s="45">
        <v>1</v>
      </c>
      <c r="I91" s="46">
        <v>1</v>
      </c>
      <c r="J91" s="46">
        <v>270.77999999999997</v>
      </c>
      <c r="K91" s="47">
        <v>0.15</v>
      </c>
      <c r="L91" s="48">
        <f t="shared" ref="L91:L96" si="3">K91*J91*H91*I91</f>
        <v>40.616999999999997</v>
      </c>
    </row>
    <row r="92" spans="2:12" s="2" customFormat="1" ht="11.25" x14ac:dyDescent="0.2">
      <c r="B92" s="43" t="s">
        <v>10</v>
      </c>
      <c r="C92" s="44" t="str">
        <f>IF(B92="","",VLOOKUP(B92,ORÇAMENTO!$B$7:C91,2,0))</f>
        <v>ESTRUTURA</v>
      </c>
      <c r="D92" s="44" t="s">
        <v>104</v>
      </c>
      <c r="E92" s="44" t="str">
        <f>IF(D92="","",VLOOKUP(D92,ORÇAMENTO!$B$7:$E$73,2,0))</f>
        <v>Concreto 30 MPA</v>
      </c>
      <c r="F92" s="44" t="s">
        <v>232</v>
      </c>
      <c r="G92" s="44" t="s">
        <v>239</v>
      </c>
      <c r="H92" s="45">
        <v>2</v>
      </c>
      <c r="I92" s="46">
        <v>9.4499999999999993</v>
      </c>
      <c r="J92" s="46">
        <v>0.3</v>
      </c>
      <c r="K92" s="47">
        <v>0.4</v>
      </c>
      <c r="L92" s="48">
        <f t="shared" si="3"/>
        <v>2.2679999999999998</v>
      </c>
    </row>
    <row r="93" spans="2:12" s="2" customFormat="1" ht="11.25" x14ac:dyDescent="0.2">
      <c r="B93" s="43" t="s">
        <v>10</v>
      </c>
      <c r="C93" s="44" t="str">
        <f>IF(B93="","",VLOOKUP(B93,ORÇAMENTO!$B$7:C92,2,0))</f>
        <v>ESTRUTURA</v>
      </c>
      <c r="D93" s="44" t="s">
        <v>104</v>
      </c>
      <c r="E93" s="44" t="str">
        <f>IF(D93="","",VLOOKUP(D93,ORÇAMENTO!$B$7:$E$73,2,0))</f>
        <v>Concreto 30 MPA</v>
      </c>
      <c r="F93" s="44" t="s">
        <v>232</v>
      </c>
      <c r="G93" s="44" t="s">
        <v>239</v>
      </c>
      <c r="H93" s="45">
        <v>1</v>
      </c>
      <c r="I93" s="46">
        <v>9.4499999999999993</v>
      </c>
      <c r="J93" s="46">
        <v>0.3</v>
      </c>
      <c r="K93" s="47">
        <v>0.4</v>
      </c>
      <c r="L93" s="48">
        <f t="shared" si="3"/>
        <v>1.1339999999999999</v>
      </c>
    </row>
    <row r="94" spans="2:12" s="2" customFormat="1" ht="11.25" x14ac:dyDescent="0.2">
      <c r="B94" s="43" t="s">
        <v>10</v>
      </c>
      <c r="C94" s="44" t="str">
        <f>IF(B94="","",VLOOKUP(B94,ORÇAMENTO!$B$7:C93,2,0))</f>
        <v>ESTRUTURA</v>
      </c>
      <c r="D94" s="44" t="s">
        <v>104</v>
      </c>
      <c r="E94" s="44" t="str">
        <f>IF(D94="","",VLOOKUP(D94,ORÇAMENTO!$B$7:$E$73,2,0))</f>
        <v>Concreto 30 MPA</v>
      </c>
      <c r="F94" s="44" t="s">
        <v>232</v>
      </c>
      <c r="G94" s="44" t="s">
        <v>239</v>
      </c>
      <c r="H94" s="45">
        <v>1</v>
      </c>
      <c r="I94" s="46">
        <v>7.05</v>
      </c>
      <c r="J94" s="46">
        <v>0.3</v>
      </c>
      <c r="K94" s="47">
        <v>0.4</v>
      </c>
      <c r="L94" s="48">
        <f t="shared" si="3"/>
        <v>0.84599999999999997</v>
      </c>
    </row>
    <row r="95" spans="2:12" s="2" customFormat="1" ht="11.25" x14ac:dyDescent="0.2">
      <c r="B95" s="43" t="s">
        <v>10</v>
      </c>
      <c r="C95" s="44" t="str">
        <f>IF(B95="","",VLOOKUP(B95,ORÇAMENTO!$B$7:C94,2,0))</f>
        <v>ESTRUTURA</v>
      </c>
      <c r="D95" s="44" t="s">
        <v>104</v>
      </c>
      <c r="E95" s="44" t="str">
        <f>IF(D95="","",VLOOKUP(D95,ORÇAMENTO!$B$7:$E$73,2,0))</f>
        <v>Concreto 30 MPA</v>
      </c>
      <c r="F95" s="44" t="s">
        <v>232</v>
      </c>
      <c r="G95" s="44" t="s">
        <v>239</v>
      </c>
      <c r="H95" s="45">
        <v>1</v>
      </c>
      <c r="I95" s="46">
        <v>5.4</v>
      </c>
      <c r="J95" s="46">
        <v>0.2</v>
      </c>
      <c r="K95" s="47">
        <v>0.4</v>
      </c>
      <c r="L95" s="48">
        <f t="shared" si="3"/>
        <v>0.43200000000000011</v>
      </c>
    </row>
    <row r="96" spans="2:12" s="2" customFormat="1" ht="11.25" x14ac:dyDescent="0.2">
      <c r="B96" s="43" t="s">
        <v>10</v>
      </c>
      <c r="C96" s="44" t="str">
        <f>IF(B96="","",VLOOKUP(B96,ORÇAMENTO!$B$7:C95,2,0))</f>
        <v>ESTRUTURA</v>
      </c>
      <c r="D96" s="44" t="s">
        <v>104</v>
      </c>
      <c r="E96" s="44" t="str">
        <f>IF(D96="","",VLOOKUP(D96,ORÇAMENTO!$B$7:$E$73,2,0))</f>
        <v>Concreto 30 MPA</v>
      </c>
      <c r="F96" s="44" t="s">
        <v>232</v>
      </c>
      <c r="G96" s="44" t="s">
        <v>239</v>
      </c>
      <c r="H96" s="45">
        <v>2</v>
      </c>
      <c r="I96" s="46">
        <v>5.15</v>
      </c>
      <c r="J96" s="46">
        <v>0.2</v>
      </c>
      <c r="K96" s="47">
        <v>0.4</v>
      </c>
      <c r="L96" s="48">
        <f t="shared" si="3"/>
        <v>0.82400000000000018</v>
      </c>
    </row>
    <row r="97" spans="2:12" s="2" customFormat="1" ht="11.25" x14ac:dyDescent="0.2">
      <c r="B97" s="43" t="s">
        <v>10</v>
      </c>
      <c r="C97" s="44" t="str">
        <f>IF(B97="","",VLOOKUP(B97,ORÇAMENTO!$B$7:C91,2,0))</f>
        <v>ESTRUTURA</v>
      </c>
      <c r="D97" s="44" t="s">
        <v>104</v>
      </c>
      <c r="E97" s="44" t="str">
        <f>IF(D97="","",VLOOKUP(D97,ORÇAMENTO!$B$7:$E$73,2,0))</f>
        <v>Concreto 30 MPA</v>
      </c>
      <c r="F97" s="44" t="s">
        <v>232</v>
      </c>
      <c r="G97" s="44" t="s">
        <v>238</v>
      </c>
      <c r="H97" s="45">
        <v>1</v>
      </c>
      <c r="I97" s="46">
        <v>1</v>
      </c>
      <c r="J97" s="46">
        <v>311.38</v>
      </c>
      <c r="K97" s="47">
        <v>0.15</v>
      </c>
      <c r="L97" s="48">
        <f>K97*J97*H97</f>
        <v>46.707000000000001</v>
      </c>
    </row>
    <row r="98" spans="2:12" s="2" customFormat="1" ht="11.25" x14ac:dyDescent="0.2">
      <c r="B98" s="43" t="s">
        <v>10</v>
      </c>
      <c r="C98" s="44" t="str">
        <f>IF(B98="","",VLOOKUP(B98,ORÇAMENTO!$B$7:C91,2,0))</f>
        <v>ESTRUTURA</v>
      </c>
      <c r="D98" s="44" t="s">
        <v>104</v>
      </c>
      <c r="E98" s="44" t="str">
        <f>IF(D98="","",VLOOKUP(D98,ORÇAMENTO!$B$7:$E$73,2,0))</f>
        <v>Concreto 30 MPA</v>
      </c>
      <c r="F98" s="44" t="s">
        <v>232</v>
      </c>
      <c r="G98" s="44" t="s">
        <v>32</v>
      </c>
      <c r="H98" s="45">
        <v>2</v>
      </c>
      <c r="I98" s="46">
        <v>0.8</v>
      </c>
      <c r="J98" s="46">
        <v>0.25</v>
      </c>
      <c r="K98" s="47">
        <v>2.8</v>
      </c>
      <c r="L98" s="48">
        <f t="shared" ref="L98:L105" si="4">H98*I98*J98*K98</f>
        <v>1.1199999999999999</v>
      </c>
    </row>
    <row r="99" spans="2:12" s="2" customFormat="1" ht="11.25" x14ac:dyDescent="0.2">
      <c r="B99" s="43" t="s">
        <v>10</v>
      </c>
      <c r="C99" s="44" t="str">
        <f>IF(B99="","",VLOOKUP(B99,ORÇAMENTO!$B$7:C92,2,0))</f>
        <v>ESTRUTURA</v>
      </c>
      <c r="D99" s="44" t="s">
        <v>104</v>
      </c>
      <c r="E99" s="44" t="str">
        <f>IF(D99="","",VLOOKUP(D99,ORÇAMENTO!$B$7:$E$73,2,0))</f>
        <v>Concreto 30 MPA</v>
      </c>
      <c r="F99" s="44" t="s">
        <v>232</v>
      </c>
      <c r="G99" s="44" t="s">
        <v>32</v>
      </c>
      <c r="H99" s="45">
        <v>7</v>
      </c>
      <c r="I99" s="46">
        <v>0.6</v>
      </c>
      <c r="J99" s="46">
        <v>0.25</v>
      </c>
      <c r="K99" s="47">
        <v>2.8</v>
      </c>
      <c r="L99" s="48">
        <f t="shared" si="4"/>
        <v>2.94</v>
      </c>
    </row>
    <row r="100" spans="2:12" s="2" customFormat="1" ht="11.25" x14ac:dyDescent="0.2">
      <c r="B100" s="43" t="s">
        <v>10</v>
      </c>
      <c r="C100" s="44" t="str">
        <f>IF(B100="","",VLOOKUP(B100,ORÇAMENTO!$B$7:C93,2,0))</f>
        <v>ESTRUTURA</v>
      </c>
      <c r="D100" s="44" t="s">
        <v>104</v>
      </c>
      <c r="E100" s="44" t="str">
        <f>IF(D100="","",VLOOKUP(D100,ORÇAMENTO!$B$7:$E$73,2,0))</f>
        <v>Concreto 30 MPA</v>
      </c>
      <c r="F100" s="44" t="s">
        <v>232</v>
      </c>
      <c r="G100" s="44" t="s">
        <v>32</v>
      </c>
      <c r="H100" s="45">
        <v>2</v>
      </c>
      <c r="I100" s="46">
        <v>0.2</v>
      </c>
      <c r="J100" s="46">
        <v>1.83</v>
      </c>
      <c r="K100" s="47">
        <v>2.8</v>
      </c>
      <c r="L100" s="48">
        <f t="shared" si="4"/>
        <v>2.0496000000000003</v>
      </c>
    </row>
    <row r="101" spans="2:12" s="2" customFormat="1" ht="11.25" x14ac:dyDescent="0.2">
      <c r="B101" s="43" t="s">
        <v>10</v>
      </c>
      <c r="C101" s="44" t="str">
        <f>IF(B101="","",VLOOKUP(B101,ORÇAMENTO!$B$7:C94,2,0))</f>
        <v>ESTRUTURA</v>
      </c>
      <c r="D101" s="44" t="s">
        <v>104</v>
      </c>
      <c r="E101" s="44" t="str">
        <f>IF(D101="","",VLOOKUP(D101,ORÇAMENTO!$B$7:$E$73,2,0))</f>
        <v>Concreto 30 MPA</v>
      </c>
      <c r="F101" s="44" t="s">
        <v>232</v>
      </c>
      <c r="G101" s="44" t="s">
        <v>32</v>
      </c>
      <c r="H101" s="45">
        <v>1</v>
      </c>
      <c r="I101" s="46">
        <v>0.2</v>
      </c>
      <c r="J101" s="46">
        <v>0.7</v>
      </c>
      <c r="K101" s="47">
        <v>2.8</v>
      </c>
      <c r="L101" s="48">
        <f t="shared" si="4"/>
        <v>0.39199999999999996</v>
      </c>
    </row>
    <row r="102" spans="2:12" s="2" customFormat="1" ht="11.25" x14ac:dyDescent="0.2">
      <c r="B102" s="43" t="s">
        <v>10</v>
      </c>
      <c r="C102" s="44" t="str">
        <f>IF(B102="","",VLOOKUP(B102,ORÇAMENTO!$B$7:C95,2,0))</f>
        <v>ESTRUTURA</v>
      </c>
      <c r="D102" s="44" t="s">
        <v>104</v>
      </c>
      <c r="E102" s="44" t="str">
        <f>IF(D102="","",VLOOKUP(D102,ORÇAMENTO!$B$7:$E$73,2,0))</f>
        <v>Concreto 30 MPA</v>
      </c>
      <c r="F102" s="44" t="s">
        <v>232</v>
      </c>
      <c r="G102" s="44" t="s">
        <v>32</v>
      </c>
      <c r="H102" s="45">
        <v>1</v>
      </c>
      <c r="I102" s="46">
        <v>0.5</v>
      </c>
      <c r="J102" s="46">
        <v>0.25</v>
      </c>
      <c r="K102" s="47">
        <v>2.8</v>
      </c>
      <c r="L102" s="48">
        <f t="shared" si="4"/>
        <v>0.35</v>
      </c>
    </row>
    <row r="103" spans="2:12" s="2" customFormat="1" ht="11.25" x14ac:dyDescent="0.2">
      <c r="B103" s="43" t="s">
        <v>10</v>
      </c>
      <c r="C103" s="44" t="str">
        <f>IF(B103="","",VLOOKUP(B103,ORÇAMENTO!$B$7:C96,2,0))</f>
        <v>ESTRUTURA</v>
      </c>
      <c r="D103" s="44" t="s">
        <v>104</v>
      </c>
      <c r="E103" s="44" t="str">
        <f>IF(D103="","",VLOOKUP(D103,ORÇAMENTO!$B$7:$E$73,2,0))</f>
        <v>Concreto 30 MPA</v>
      </c>
      <c r="F103" s="44" t="s">
        <v>232</v>
      </c>
      <c r="G103" s="44" t="s">
        <v>32</v>
      </c>
      <c r="H103" s="45">
        <v>1</v>
      </c>
      <c r="I103" s="46">
        <v>0.3</v>
      </c>
      <c r="J103" s="46">
        <v>0.2</v>
      </c>
      <c r="K103" s="47">
        <v>2.8</v>
      </c>
      <c r="L103" s="48">
        <f t="shared" si="4"/>
        <v>0.16799999999999998</v>
      </c>
    </row>
    <row r="104" spans="2:12" s="2" customFormat="1" ht="11.25" x14ac:dyDescent="0.2">
      <c r="B104" s="43" t="s">
        <v>10</v>
      </c>
      <c r="C104" s="44" t="str">
        <f>IF(B104="","",VLOOKUP(B104,ORÇAMENTO!$B$7:C97,2,0))</f>
        <v>ESTRUTURA</v>
      </c>
      <c r="D104" s="44" t="s">
        <v>104</v>
      </c>
      <c r="E104" s="44" t="str">
        <f>IF(D104="","",VLOOKUP(D104,ORÇAMENTO!$B$7:$E$73,2,0))</f>
        <v>Concreto 30 MPA</v>
      </c>
      <c r="F104" s="44" t="s">
        <v>232</v>
      </c>
      <c r="G104" s="44" t="s">
        <v>32</v>
      </c>
      <c r="H104" s="45">
        <v>2</v>
      </c>
      <c r="I104" s="46">
        <v>0.3</v>
      </c>
      <c r="J104" s="46">
        <v>0.25</v>
      </c>
      <c r="K104" s="47">
        <v>2.8</v>
      </c>
      <c r="L104" s="48">
        <f t="shared" si="4"/>
        <v>0.42</v>
      </c>
    </row>
    <row r="105" spans="2:12" s="2" customFormat="1" ht="11.25" x14ac:dyDescent="0.2">
      <c r="B105" s="43" t="s">
        <v>10</v>
      </c>
      <c r="C105" s="44" t="str">
        <f>IF(B105="","",VLOOKUP(B105,ORÇAMENTO!$B$7:C98,2,0))</f>
        <v>ESTRUTURA</v>
      </c>
      <c r="D105" s="44" t="s">
        <v>104</v>
      </c>
      <c r="E105" s="44" t="str">
        <f>IF(D105="","",VLOOKUP(D105,ORÇAMENTO!$B$7:$E$73,2,0))</f>
        <v>Concreto 30 MPA</v>
      </c>
      <c r="F105" s="44" t="s">
        <v>232</v>
      </c>
      <c r="G105" s="44" t="s">
        <v>32</v>
      </c>
      <c r="H105" s="45">
        <v>4</v>
      </c>
      <c r="I105" s="46">
        <v>0.25</v>
      </c>
      <c r="J105" s="46">
        <v>0.25</v>
      </c>
      <c r="K105" s="47">
        <v>2.8</v>
      </c>
      <c r="L105" s="48">
        <f t="shared" si="4"/>
        <v>0.7</v>
      </c>
    </row>
    <row r="106" spans="2:12" s="2" customFormat="1" ht="11.25" x14ac:dyDescent="0.2">
      <c r="B106" s="43" t="s">
        <v>10</v>
      </c>
      <c r="C106" s="44" t="str">
        <f>IF(B106="","",VLOOKUP(B106,ORÇAMENTO!$B$7:C99,2,0))</f>
        <v>ESTRUTURA</v>
      </c>
      <c r="D106" s="44" t="s">
        <v>104</v>
      </c>
      <c r="E106" s="44" t="str">
        <f>IF(D106="","",VLOOKUP(D106,ORÇAMENTO!$B$7:$E$73,2,0))</f>
        <v>Concreto 30 MPA</v>
      </c>
      <c r="F106" s="44" t="s">
        <v>232</v>
      </c>
      <c r="G106" s="44" t="s">
        <v>234</v>
      </c>
      <c r="H106" s="45">
        <v>1</v>
      </c>
      <c r="I106" s="46"/>
      <c r="J106" s="46">
        <v>230.05</v>
      </c>
      <c r="K106" s="47">
        <v>0.25</v>
      </c>
      <c r="L106" s="48">
        <f>K106*J106</f>
        <v>57.512500000000003</v>
      </c>
    </row>
    <row r="107" spans="2:12" s="2" customFormat="1" ht="11.25" x14ac:dyDescent="0.2">
      <c r="B107" s="43" t="s">
        <v>10</v>
      </c>
      <c r="C107" s="44" t="str">
        <f>IF(B107="","",VLOOKUP(B107,ORÇAMENTO!$B$7:C89,2,0))</f>
        <v>ESTRUTURA</v>
      </c>
      <c r="D107" s="44" t="s">
        <v>105</v>
      </c>
      <c r="E107" s="44" t="str">
        <f>IF(D107="","",VLOOKUP(D107,ORÇAMENTO!$B$7:$E$73,2,0))</f>
        <v>Forma</v>
      </c>
      <c r="F107" s="44" t="s">
        <v>232</v>
      </c>
      <c r="G107" s="44" t="s">
        <v>36</v>
      </c>
      <c r="H107" s="49">
        <v>2.8</v>
      </c>
      <c r="I107" s="50">
        <v>112.36</v>
      </c>
      <c r="J107" s="46">
        <v>1</v>
      </c>
      <c r="K107" s="47">
        <v>1</v>
      </c>
      <c r="L107" s="51">
        <f>K107*J107*I107*H107</f>
        <v>314.608</v>
      </c>
    </row>
    <row r="108" spans="2:12" s="2" customFormat="1" ht="11.25" x14ac:dyDescent="0.2">
      <c r="B108" s="43" t="s">
        <v>10</v>
      </c>
      <c r="C108" s="44" t="str">
        <f>IF(B108="","",VLOOKUP(B108,ORÇAMENTO!$B$7:C93,2,0))</f>
        <v>ESTRUTURA</v>
      </c>
      <c r="D108" s="44" t="s">
        <v>105</v>
      </c>
      <c r="E108" s="44" t="str">
        <f>IF(D108="","",VLOOKUP(D108,ORÇAMENTO!$B$7:$E$73,2,0))</f>
        <v>Forma</v>
      </c>
      <c r="F108" s="44" t="s">
        <v>31</v>
      </c>
      <c r="G108" s="44" t="s">
        <v>36</v>
      </c>
      <c r="H108" s="49">
        <v>2.8</v>
      </c>
      <c r="I108" s="50">
        <f>1.12+2.94+2.05+0.39+0.35+0.17+0.42+0.11+0.08+2.27+0.89+0.38+0.54+0.41+1.27+1.28+0.68+0.12+0.26+0.53+0.26+0.11+1.36+0.2+46.71+-7.42</f>
        <v>57.480000000000004</v>
      </c>
      <c r="J108" s="46">
        <v>1</v>
      </c>
      <c r="K108" s="47">
        <v>1</v>
      </c>
      <c r="L108" s="51">
        <f t="shared" ref="L108:L113" si="5">H108*I108*J108*K108</f>
        <v>160.94399999999999</v>
      </c>
    </row>
    <row r="109" spans="2:12" s="2" customFormat="1" ht="11.25" x14ac:dyDescent="0.2">
      <c r="B109" s="43" t="s">
        <v>10</v>
      </c>
      <c r="C109" s="44" t="str">
        <f>IF(B109="","",VLOOKUP(B109,ORÇAMENTO!$B$7:C95,2,0))</f>
        <v>ESTRUTURA</v>
      </c>
      <c r="D109" s="44" t="s">
        <v>105</v>
      </c>
      <c r="E109" s="44" t="str">
        <f>IF(D109="","",VLOOKUP(D109,ORÇAMENTO!$B$7:$E$73,2,0))</f>
        <v>Forma</v>
      </c>
      <c r="F109" s="44" t="s">
        <v>28</v>
      </c>
      <c r="G109" s="44" t="s">
        <v>36</v>
      </c>
      <c r="H109" s="49">
        <v>2.8</v>
      </c>
      <c r="I109" s="50">
        <f>1.12+2.94+2.05+0.39+0.35+8.96+27.34</f>
        <v>43.15</v>
      </c>
      <c r="J109" s="46">
        <v>1</v>
      </c>
      <c r="K109" s="47">
        <v>1</v>
      </c>
      <c r="L109" s="51">
        <f t="shared" si="5"/>
        <v>120.82</v>
      </c>
    </row>
    <row r="110" spans="2:12" s="2" customFormat="1" ht="11.25" x14ac:dyDescent="0.2">
      <c r="B110" s="43" t="s">
        <v>10</v>
      </c>
      <c r="C110" s="44" t="str">
        <f>IF(B110="","",VLOOKUP(B110,ORÇAMENTO!$B$7:C97,2,0))</f>
        <v>ESTRUTURA</v>
      </c>
      <c r="D110" s="44" t="s">
        <v>105</v>
      </c>
      <c r="E110" s="44" t="str">
        <f>IF(D110="","",VLOOKUP(D110,ORÇAMENTO!$B$7:$E$73,2,0))</f>
        <v>Forma</v>
      </c>
      <c r="F110" s="44" t="s">
        <v>29</v>
      </c>
      <c r="G110" s="44" t="s">
        <v>36</v>
      </c>
      <c r="H110" s="49">
        <v>2.8</v>
      </c>
      <c r="I110" s="50">
        <f>5.2+13.65+9.52+1.82+1.63+2.82+2.4+17.32+6.32+1.46+2.73+11.09+2.13+1.67+159.38</f>
        <v>239.14</v>
      </c>
      <c r="J110" s="46">
        <v>1</v>
      </c>
      <c r="K110" s="47">
        <v>1</v>
      </c>
      <c r="L110" s="51">
        <f t="shared" si="5"/>
        <v>669.59199999999987</v>
      </c>
    </row>
    <row r="111" spans="2:12" s="2" customFormat="1" ht="11.25" x14ac:dyDescent="0.2">
      <c r="B111" s="43" t="s">
        <v>10</v>
      </c>
      <c r="C111" s="44" t="str">
        <f>IF(B111="","",VLOOKUP(B111,ORÇAMENTO!$B$7:C99,2,0))</f>
        <v>ESTRUTURA</v>
      </c>
      <c r="D111" s="44" t="s">
        <v>105</v>
      </c>
      <c r="E111" s="44" t="str">
        <f>IF(D111="","",VLOOKUP(D111,ORÇAMENTO!$B$7:$E$73,2,0))</f>
        <v>Forma</v>
      </c>
      <c r="F111" s="44" t="s">
        <v>34</v>
      </c>
      <c r="G111" s="44" t="s">
        <v>36</v>
      </c>
      <c r="H111" s="49">
        <v>2.8</v>
      </c>
      <c r="I111" s="50">
        <f>5.2+13.65+9.52+1.82+1.63+2.82+2.4+17.32+6.32+1.46+2.73+11.09+2.13+1.67+159.38</f>
        <v>239.14</v>
      </c>
      <c r="J111" s="46">
        <v>1</v>
      </c>
      <c r="K111" s="47">
        <v>1</v>
      </c>
      <c r="L111" s="51">
        <f t="shared" si="5"/>
        <v>669.59199999999987</v>
      </c>
    </row>
    <row r="112" spans="2:12" s="2" customFormat="1" ht="11.25" x14ac:dyDescent="0.2">
      <c r="B112" s="43" t="s">
        <v>10</v>
      </c>
      <c r="C112" s="44" t="str">
        <f>IF(B112="","",VLOOKUP(B112,ORÇAMENTO!$B$7:C101,2,0))</f>
        <v>ESTRUTURA</v>
      </c>
      <c r="D112" s="44" t="s">
        <v>105</v>
      </c>
      <c r="E112" s="44" t="str">
        <f>IF(D112="","",VLOOKUP(D112,ORÇAMENTO!$B$7:$E$73,2,0))</f>
        <v>Forma</v>
      </c>
      <c r="F112" s="44" t="s">
        <v>15</v>
      </c>
      <c r="G112" s="44" t="s">
        <v>36</v>
      </c>
      <c r="H112" s="49">
        <v>2.8</v>
      </c>
      <c r="I112" s="50">
        <f>1.25+0.21+0.52+0.95+0.83+0.4+0.15+0.022+0.26+6.37+32.9+10.88</f>
        <v>54.741999999999997</v>
      </c>
      <c r="J112" s="46">
        <v>1</v>
      </c>
      <c r="K112" s="47">
        <v>1</v>
      </c>
      <c r="L112" s="51">
        <f t="shared" si="5"/>
        <v>153.27759999999998</v>
      </c>
    </row>
    <row r="113" spans="2:12" s="2" customFormat="1" ht="11.25" x14ac:dyDescent="0.2">
      <c r="B113" s="43" t="s">
        <v>10</v>
      </c>
      <c r="C113" s="44" t="str">
        <f>IF(B113="","",VLOOKUP(B113,ORÇAMENTO!$B$7:C103,2,0))</f>
        <v>ESTRUTURA</v>
      </c>
      <c r="D113" s="44" t="s">
        <v>105</v>
      </c>
      <c r="E113" s="44" t="str">
        <f>IF(D113="","",VLOOKUP(D113,ORÇAMENTO!$B$7:$E$73,2,0))</f>
        <v>Forma</v>
      </c>
      <c r="F113" s="44" t="s">
        <v>30</v>
      </c>
      <c r="G113" s="44" t="s">
        <v>36</v>
      </c>
      <c r="H113" s="49">
        <v>2.8</v>
      </c>
      <c r="I113" s="50">
        <f>6.05+2.02+7.81</f>
        <v>15.879999999999999</v>
      </c>
      <c r="J113" s="46">
        <v>1</v>
      </c>
      <c r="K113" s="47">
        <v>1</v>
      </c>
      <c r="L113" s="48">
        <f t="shared" si="5"/>
        <v>44.463999999999992</v>
      </c>
    </row>
    <row r="114" spans="2:12" s="2" customFormat="1" ht="11.25" x14ac:dyDescent="0.2">
      <c r="B114" s="43" t="s">
        <v>10</v>
      </c>
      <c r="C114" s="44" t="str">
        <f>IF(B114="","",VLOOKUP(B114,ORÇAMENTO!$B$7:C88,2,0))</f>
        <v>ESTRUTURA</v>
      </c>
      <c r="D114" s="44" t="s">
        <v>106</v>
      </c>
      <c r="E114" s="44" t="str">
        <f>IF(D114="","",VLOOKUP(D114,ORÇAMENTO!$B$7:$E$73,2,0))</f>
        <v>Armação</v>
      </c>
      <c r="F114" s="44" t="s">
        <v>232</v>
      </c>
      <c r="G114" s="44" t="s">
        <v>36</v>
      </c>
      <c r="H114" s="52">
        <v>100</v>
      </c>
      <c r="I114" s="50">
        <v>112.36</v>
      </c>
      <c r="J114" s="46">
        <v>1</v>
      </c>
      <c r="K114" s="47">
        <v>1</v>
      </c>
      <c r="L114" s="53">
        <f>K114*J114*I114*H114</f>
        <v>11236</v>
      </c>
    </row>
    <row r="115" spans="2:12" s="2" customFormat="1" ht="11.25" x14ac:dyDescent="0.2">
      <c r="B115" s="43" t="s">
        <v>10</v>
      </c>
      <c r="C115" s="44" t="str">
        <f>IF(B115="","",VLOOKUP(B115,ORÇAMENTO!$B$7:C92,2,0))</f>
        <v>ESTRUTURA</v>
      </c>
      <c r="D115" s="44" t="s">
        <v>106</v>
      </c>
      <c r="E115" s="44" t="str">
        <f>IF(D115="","",VLOOKUP(D115,ORÇAMENTO!$B$7:$E$73,2,0))</f>
        <v>Armação</v>
      </c>
      <c r="F115" s="44" t="s">
        <v>31</v>
      </c>
      <c r="G115" s="44" t="s">
        <v>36</v>
      </c>
      <c r="H115" s="52">
        <v>100</v>
      </c>
      <c r="I115" s="50">
        <f>1.12+2.94+2.05+0.39+0.35+0.17+0.42+0.11+0.08+2.27+0.89+0.38+0.54+0.41+1.27+1.28+0.68+0.12+0.26+0.53+0.26+0.11+1.36+0.2+46.71+-7.42</f>
        <v>57.480000000000004</v>
      </c>
      <c r="J115" s="46">
        <v>1</v>
      </c>
      <c r="K115" s="47">
        <v>1</v>
      </c>
      <c r="L115" s="54">
        <f t="shared" ref="L115:L120" si="6">H115*I115*J115*K115</f>
        <v>5748</v>
      </c>
    </row>
    <row r="116" spans="2:12" s="2" customFormat="1" ht="11.25" x14ac:dyDescent="0.2">
      <c r="B116" s="43" t="s">
        <v>10</v>
      </c>
      <c r="C116" s="44" t="str">
        <f>IF(B116="","",VLOOKUP(B116,ORÇAMENTO!$B$7:C94,2,0))</f>
        <v>ESTRUTURA</v>
      </c>
      <c r="D116" s="44" t="s">
        <v>106</v>
      </c>
      <c r="E116" s="44" t="str">
        <f>IF(D116="","",VLOOKUP(D116,ORÇAMENTO!$B$7:$E$73,2,0))</f>
        <v>Armação</v>
      </c>
      <c r="F116" s="44" t="s">
        <v>28</v>
      </c>
      <c r="G116" s="44" t="s">
        <v>36</v>
      </c>
      <c r="H116" s="52">
        <v>100</v>
      </c>
      <c r="I116" s="50">
        <f>1.12+2.94+2.05+0.39+0.35+8.96+27.34</f>
        <v>43.15</v>
      </c>
      <c r="J116" s="46">
        <v>1</v>
      </c>
      <c r="K116" s="47">
        <v>1</v>
      </c>
      <c r="L116" s="54">
        <f t="shared" si="6"/>
        <v>4315</v>
      </c>
    </row>
    <row r="117" spans="2:12" s="2" customFormat="1" ht="11.25" x14ac:dyDescent="0.2">
      <c r="B117" s="43" t="s">
        <v>10</v>
      </c>
      <c r="C117" s="44" t="str">
        <f>IF(B117="","",VLOOKUP(B117,ORÇAMENTO!$B$7:C96,2,0))</f>
        <v>ESTRUTURA</v>
      </c>
      <c r="D117" s="44" t="s">
        <v>106</v>
      </c>
      <c r="E117" s="44" t="str">
        <f>IF(D117="","",VLOOKUP(D117,ORÇAMENTO!$B$7:$E$73,2,0))</f>
        <v>Armação</v>
      </c>
      <c r="F117" s="44" t="s">
        <v>29</v>
      </c>
      <c r="G117" s="44" t="s">
        <v>36</v>
      </c>
      <c r="H117" s="52">
        <v>100</v>
      </c>
      <c r="I117" s="50">
        <f>5.2+13.65+9.52+1.82+1.63+2.82+2.4+17.32+6.32+1.46+2.73+11.09+2.13+1.67+159.38</f>
        <v>239.14</v>
      </c>
      <c r="J117" s="46">
        <v>1</v>
      </c>
      <c r="K117" s="47">
        <v>1</v>
      </c>
      <c r="L117" s="54">
        <f t="shared" si="6"/>
        <v>23914</v>
      </c>
    </row>
    <row r="118" spans="2:12" s="2" customFormat="1" ht="11.25" x14ac:dyDescent="0.2">
      <c r="B118" s="43" t="s">
        <v>10</v>
      </c>
      <c r="C118" s="44" t="str">
        <f>IF(B118="","",VLOOKUP(B118,ORÇAMENTO!$B$7:C98,2,0))</f>
        <v>ESTRUTURA</v>
      </c>
      <c r="D118" s="44" t="s">
        <v>106</v>
      </c>
      <c r="E118" s="44" t="str">
        <f>IF(D118="","",VLOOKUP(D118,ORÇAMENTO!$B$7:$E$73,2,0))</f>
        <v>Armação</v>
      </c>
      <c r="F118" s="44" t="s">
        <v>34</v>
      </c>
      <c r="G118" s="44" t="s">
        <v>36</v>
      </c>
      <c r="H118" s="52">
        <v>100</v>
      </c>
      <c r="I118" s="50">
        <f>5.2+13.65+9.52+1.82+1.63+2.82+2.4+17.32+6.32+1.46+2.73+11.09+2.13+1.67+159.38</f>
        <v>239.14</v>
      </c>
      <c r="J118" s="46">
        <v>1</v>
      </c>
      <c r="K118" s="47">
        <v>1</v>
      </c>
      <c r="L118" s="54">
        <f t="shared" si="6"/>
        <v>23914</v>
      </c>
    </row>
    <row r="119" spans="2:12" s="2" customFormat="1" ht="11.25" x14ac:dyDescent="0.2">
      <c r="B119" s="43" t="s">
        <v>10</v>
      </c>
      <c r="C119" s="44" t="str">
        <f>IF(B119="","",VLOOKUP(B119,ORÇAMENTO!$B$7:C100,2,0))</f>
        <v>ESTRUTURA</v>
      </c>
      <c r="D119" s="44" t="s">
        <v>106</v>
      </c>
      <c r="E119" s="44" t="str">
        <f>IF(D119="","",VLOOKUP(D119,ORÇAMENTO!$B$7:$E$73,2,0))</f>
        <v>Armação</v>
      </c>
      <c r="F119" s="44" t="s">
        <v>15</v>
      </c>
      <c r="G119" s="44" t="s">
        <v>36</v>
      </c>
      <c r="H119" s="52">
        <v>100</v>
      </c>
      <c r="I119" s="50">
        <f>1.25+0.21+0.52+0.95+0.83+0.4+0.15+0.022+0.26+6.37+32.9+10.88</f>
        <v>54.741999999999997</v>
      </c>
      <c r="J119" s="46">
        <v>1</v>
      </c>
      <c r="K119" s="47">
        <v>1</v>
      </c>
      <c r="L119" s="54">
        <f t="shared" si="6"/>
        <v>5474.2</v>
      </c>
    </row>
    <row r="120" spans="2:12" s="2" customFormat="1" ht="11.25" x14ac:dyDescent="0.2">
      <c r="B120" s="43" t="s">
        <v>10</v>
      </c>
      <c r="C120" s="44" t="str">
        <f>IF(B120="","",VLOOKUP(B120,ORÇAMENTO!$B$7:C102,2,0))</f>
        <v>ESTRUTURA</v>
      </c>
      <c r="D120" s="44" t="s">
        <v>106</v>
      </c>
      <c r="E120" s="44" t="str">
        <f>IF(D120="","",VLOOKUP(D120,ORÇAMENTO!$B$7:$E$73,2,0))</f>
        <v>Armação</v>
      </c>
      <c r="F120" s="44" t="s">
        <v>30</v>
      </c>
      <c r="G120" s="44" t="s">
        <v>36</v>
      </c>
      <c r="H120" s="52">
        <v>100</v>
      </c>
      <c r="I120" s="50">
        <f>6.05+2.02+7.81</f>
        <v>15.879999999999999</v>
      </c>
      <c r="J120" s="46">
        <v>1</v>
      </c>
      <c r="K120" s="47">
        <v>1</v>
      </c>
      <c r="L120" s="54">
        <f t="shared" si="6"/>
        <v>1588</v>
      </c>
    </row>
    <row r="121" spans="2:12" x14ac:dyDescent="0.2">
      <c r="B121" s="34" t="s">
        <v>12</v>
      </c>
      <c r="C121" s="35" t="str">
        <f>IF(B121="","",VLOOKUP(B121,ORÇAMENTO!$B$7:C103,2,0))</f>
        <v>ALVENARIA</v>
      </c>
      <c r="D121" s="35" t="s">
        <v>107</v>
      </c>
      <c r="E121" s="35" t="str">
        <f>IF(D121="","",VLOOKUP(D121,ORÇAMENTO!$B$7:$E$73,2,0))</f>
        <v>Alvenaria</v>
      </c>
      <c r="F121" s="35" t="s">
        <v>232</v>
      </c>
      <c r="G121" s="55"/>
      <c r="H121" s="56">
        <v>1</v>
      </c>
      <c r="I121" s="38"/>
      <c r="J121" s="38">
        <v>30.36</v>
      </c>
      <c r="K121" s="39">
        <v>2.8</v>
      </c>
      <c r="L121" s="40">
        <f>J121*K121</f>
        <v>85.007999999999996</v>
      </c>
    </row>
    <row r="122" spans="2:12" x14ac:dyDescent="0.2">
      <c r="B122" s="34" t="s">
        <v>12</v>
      </c>
      <c r="C122" s="35" t="str">
        <f>IF(B122="","",VLOOKUP(B122,ORÇAMENTO!$B$7:C104,2,0))</f>
        <v>ALVENARIA</v>
      </c>
      <c r="D122" s="35" t="s">
        <v>107</v>
      </c>
      <c r="E122" s="35" t="str">
        <f>IF(D122="","",VLOOKUP(D122,ORÇAMENTO!$B$7:$E$73,2,0))</f>
        <v>Alvenaria</v>
      </c>
      <c r="F122" s="35" t="s">
        <v>232</v>
      </c>
      <c r="G122" s="55"/>
      <c r="H122" s="56">
        <v>1</v>
      </c>
      <c r="I122" s="38"/>
      <c r="J122" s="38">
        <v>12.93</v>
      </c>
      <c r="K122" s="39">
        <v>1</v>
      </c>
      <c r="L122" s="40">
        <f>J122*K122</f>
        <v>12.93</v>
      </c>
    </row>
    <row r="123" spans="2:12" x14ac:dyDescent="0.2">
      <c r="B123" s="34" t="s">
        <v>12</v>
      </c>
      <c r="C123" s="35" t="str">
        <f>IF(B123="","",VLOOKUP(B123,ORÇAMENTO!$B$7:C105,2,0))</f>
        <v>ALVENARIA</v>
      </c>
      <c r="D123" s="35" t="s">
        <v>107</v>
      </c>
      <c r="E123" s="35" t="str">
        <f>IF(D123="","",VLOOKUP(D123,ORÇAMENTO!$B$7:$E$73,2,0))</f>
        <v>Alvenaria</v>
      </c>
      <c r="F123" s="35" t="s">
        <v>232</v>
      </c>
      <c r="G123" s="55"/>
      <c r="H123" s="56">
        <v>1</v>
      </c>
      <c r="I123" s="38"/>
      <c r="J123" s="38">
        <v>1.75</v>
      </c>
      <c r="K123" s="39">
        <v>0.1</v>
      </c>
      <c r="L123" s="40">
        <f>J123*K123</f>
        <v>0.17500000000000002</v>
      </c>
    </row>
    <row r="124" spans="2:12" s="2" customFormat="1" ht="11.25" x14ac:dyDescent="0.2">
      <c r="B124" s="34" t="s">
        <v>12</v>
      </c>
      <c r="C124" s="35" t="str">
        <f>IF(B124="","",VLOOKUP(B124,ORÇAMENTO!$B$7:C104,2,0))</f>
        <v>ALVENARIA</v>
      </c>
      <c r="D124" s="35" t="s">
        <v>107</v>
      </c>
      <c r="E124" s="35" t="str">
        <f>IF(D124="","",VLOOKUP(D124,ORÇAMENTO!$B$7:$E$73,2,0))</f>
        <v>Alvenaria</v>
      </c>
      <c r="F124" s="35" t="s">
        <v>31</v>
      </c>
      <c r="G124" s="55"/>
      <c r="H124" s="56">
        <v>1</v>
      </c>
      <c r="I124" s="38">
        <v>123.16</v>
      </c>
      <c r="J124" s="38">
        <v>1</v>
      </c>
      <c r="K124" s="39">
        <v>2.8</v>
      </c>
      <c r="L124" s="40">
        <f t="shared" ref="L124:L155" si="7">H124*I124*J124*K124</f>
        <v>344.84799999999996</v>
      </c>
    </row>
    <row r="125" spans="2:12" s="2" customFormat="1" ht="11.25" x14ac:dyDescent="0.2">
      <c r="B125" s="34" t="s">
        <v>12</v>
      </c>
      <c r="C125" s="35" t="str">
        <f>IF(B125="","",VLOOKUP(B125,ORÇAMENTO!$B$7:C105,2,0))</f>
        <v>ALVENARIA</v>
      </c>
      <c r="D125" s="35" t="s">
        <v>107</v>
      </c>
      <c r="E125" s="35" t="str">
        <f>IF(D125="","",VLOOKUP(D125,ORÇAMENTO!$B$7:$E$73,2,0))</f>
        <v>Alvenaria</v>
      </c>
      <c r="F125" s="35" t="s">
        <v>31</v>
      </c>
      <c r="G125" s="55"/>
      <c r="H125" s="56">
        <v>1</v>
      </c>
      <c r="I125" s="38">
        <v>7.39</v>
      </c>
      <c r="J125" s="38">
        <v>1</v>
      </c>
      <c r="K125" s="39">
        <v>1</v>
      </c>
      <c r="L125" s="40">
        <f t="shared" si="7"/>
        <v>7.39</v>
      </c>
    </row>
    <row r="126" spans="2:12" s="2" customFormat="1" ht="11.25" x14ac:dyDescent="0.2">
      <c r="B126" s="34" t="s">
        <v>12</v>
      </c>
      <c r="C126" s="35" t="str">
        <f>IF(B126="","",VLOOKUP(B126,ORÇAMENTO!$B$7:C107,2,0))</f>
        <v>ALVENARIA</v>
      </c>
      <c r="D126" s="35" t="s">
        <v>107</v>
      </c>
      <c r="E126" s="35" t="str">
        <f>IF(D126="","",VLOOKUP(D126,ORÇAMENTO!$B$7:$E$73,2,0))</f>
        <v>Alvenaria</v>
      </c>
      <c r="F126" s="35" t="s">
        <v>28</v>
      </c>
      <c r="G126" s="55"/>
      <c r="H126" s="56">
        <v>1</v>
      </c>
      <c r="I126" s="38">
        <v>118.46</v>
      </c>
      <c r="J126" s="38">
        <v>1</v>
      </c>
      <c r="K126" s="39">
        <v>2.8</v>
      </c>
      <c r="L126" s="40">
        <f t="shared" si="7"/>
        <v>331.68799999999999</v>
      </c>
    </row>
    <row r="127" spans="2:12" s="2" customFormat="1" ht="11.25" x14ac:dyDescent="0.2">
      <c r="B127" s="34" t="s">
        <v>12</v>
      </c>
      <c r="C127" s="35" t="str">
        <f>IF(B127="","",VLOOKUP(B127,ORÇAMENTO!$B$7:C108,2,0))</f>
        <v>ALVENARIA</v>
      </c>
      <c r="D127" s="35" t="s">
        <v>107</v>
      </c>
      <c r="E127" s="35" t="str">
        <f>IF(D127="","",VLOOKUP(D127,ORÇAMENTO!$B$7:$E$73,2,0))</f>
        <v>Alvenaria</v>
      </c>
      <c r="F127" s="35" t="s">
        <v>28</v>
      </c>
      <c r="G127" s="55"/>
      <c r="H127" s="56">
        <v>1</v>
      </c>
      <c r="I127" s="38">
        <v>36.85</v>
      </c>
      <c r="J127" s="38">
        <v>1</v>
      </c>
      <c r="K127" s="39">
        <v>1.8</v>
      </c>
      <c r="L127" s="40">
        <f t="shared" si="7"/>
        <v>66.33</v>
      </c>
    </row>
    <row r="128" spans="2:12" s="2" customFormat="1" ht="11.25" x14ac:dyDescent="0.2">
      <c r="B128" s="34" t="s">
        <v>12</v>
      </c>
      <c r="C128" s="35" t="str">
        <f>IF(B128="","",VLOOKUP(B128,ORÇAMENTO!$B$7:C109,2,0))</f>
        <v>ALVENARIA</v>
      </c>
      <c r="D128" s="35" t="s">
        <v>107</v>
      </c>
      <c r="E128" s="35" t="str">
        <f>IF(D128="","",VLOOKUP(D128,ORÇAMENTO!$B$7:$E$73,2,0))</f>
        <v>Alvenaria</v>
      </c>
      <c r="F128" s="35" t="s">
        <v>28</v>
      </c>
      <c r="G128" s="55"/>
      <c r="H128" s="56">
        <v>1</v>
      </c>
      <c r="I128" s="38">
        <v>9.8699999999999992</v>
      </c>
      <c r="J128" s="38">
        <v>1</v>
      </c>
      <c r="K128" s="39">
        <v>1</v>
      </c>
      <c r="L128" s="40">
        <f t="shared" si="7"/>
        <v>9.8699999999999992</v>
      </c>
    </row>
    <row r="129" spans="2:12" s="2" customFormat="1" ht="11.25" x14ac:dyDescent="0.2">
      <c r="B129" s="34" t="s">
        <v>12</v>
      </c>
      <c r="C129" s="35" t="str">
        <f>IF(B129="","",VLOOKUP(B129,ORÇAMENTO!$B$7:C111,2,0))</f>
        <v>ALVENARIA</v>
      </c>
      <c r="D129" s="35" t="s">
        <v>107</v>
      </c>
      <c r="E129" s="35" t="str">
        <f>IF(D129="","",VLOOKUP(D129,ORÇAMENTO!$B$7:$E$73,2,0))</f>
        <v>Alvenaria</v>
      </c>
      <c r="F129" s="35" t="s">
        <v>29</v>
      </c>
      <c r="G129" s="55"/>
      <c r="H129" s="56">
        <v>5</v>
      </c>
      <c r="I129" s="38">
        <v>136.16</v>
      </c>
      <c r="J129" s="38">
        <v>1</v>
      </c>
      <c r="K129" s="39">
        <v>2.6</v>
      </c>
      <c r="L129" s="40">
        <f t="shared" si="7"/>
        <v>1770.08</v>
      </c>
    </row>
    <row r="130" spans="2:12" s="2" customFormat="1" ht="11.25" x14ac:dyDescent="0.2">
      <c r="B130" s="34" t="s">
        <v>12</v>
      </c>
      <c r="C130" s="35" t="str">
        <f>IF(B130="","",VLOOKUP(B130,ORÇAMENTO!$B$7:C112,2,0))</f>
        <v>ALVENARIA</v>
      </c>
      <c r="D130" s="35" t="s">
        <v>107</v>
      </c>
      <c r="E130" s="35" t="str">
        <f>IF(D130="","",VLOOKUP(D130,ORÇAMENTO!$B$7:$E$73,2,0))</f>
        <v>Alvenaria</v>
      </c>
      <c r="F130" s="35" t="s">
        <v>29</v>
      </c>
      <c r="G130" s="55"/>
      <c r="H130" s="56">
        <f>5</f>
        <v>5</v>
      </c>
      <c r="I130" s="38">
        <v>22.85</v>
      </c>
      <c r="J130" s="38">
        <v>1</v>
      </c>
      <c r="K130" s="39">
        <v>1</v>
      </c>
      <c r="L130" s="40">
        <f t="shared" si="7"/>
        <v>114.25</v>
      </c>
    </row>
    <row r="131" spans="2:12" x14ac:dyDescent="0.2">
      <c r="B131" s="34" t="s">
        <v>12</v>
      </c>
      <c r="C131" s="35" t="str">
        <f>IF(B131="","",VLOOKUP(B131,ORÇAMENTO!$B$7:C114,2,0))</f>
        <v>ALVENARIA</v>
      </c>
      <c r="D131" s="35" t="s">
        <v>107</v>
      </c>
      <c r="E131" s="35" t="str">
        <f>IF(D131="","",VLOOKUP(D131,ORÇAMENTO!$B$7:$E$73,2,0))</f>
        <v>Alvenaria</v>
      </c>
      <c r="F131" s="35" t="s">
        <v>34</v>
      </c>
      <c r="G131" s="55"/>
      <c r="H131" s="56">
        <v>1</v>
      </c>
      <c r="I131" s="38">
        <v>138.97999999999999</v>
      </c>
      <c r="J131" s="38">
        <v>1</v>
      </c>
      <c r="K131" s="39">
        <v>2.6</v>
      </c>
      <c r="L131" s="40">
        <f t="shared" si="7"/>
        <v>361.34800000000001</v>
      </c>
    </row>
    <row r="132" spans="2:12" x14ac:dyDescent="0.2">
      <c r="B132" s="34" t="s">
        <v>12</v>
      </c>
      <c r="C132" s="35" t="str">
        <f>IF(B132="","",VLOOKUP(B132,ORÇAMENTO!$B$7:C115,2,0))</f>
        <v>ALVENARIA</v>
      </c>
      <c r="D132" s="35" t="s">
        <v>107</v>
      </c>
      <c r="E132" s="35" t="str">
        <f>IF(D132="","",VLOOKUP(D132,ORÇAMENTO!$B$7:$E$73,2,0))</f>
        <v>Alvenaria</v>
      </c>
      <c r="F132" s="35" t="s">
        <v>34</v>
      </c>
      <c r="G132" s="55"/>
      <c r="H132" s="56">
        <v>1</v>
      </c>
      <c r="I132" s="38">
        <v>22.85</v>
      </c>
      <c r="J132" s="38">
        <v>1</v>
      </c>
      <c r="K132" s="39">
        <v>1</v>
      </c>
      <c r="L132" s="40">
        <f t="shared" si="7"/>
        <v>22.85</v>
      </c>
    </row>
    <row r="133" spans="2:12" x14ac:dyDescent="0.2">
      <c r="B133" s="34" t="s">
        <v>12</v>
      </c>
      <c r="C133" s="35" t="str">
        <f>IF(B133="","",VLOOKUP(B133,ORÇAMENTO!$B$7:C117,2,0))</f>
        <v>ALVENARIA</v>
      </c>
      <c r="D133" s="35" t="s">
        <v>107</v>
      </c>
      <c r="E133" s="35" t="str">
        <f>IF(D133="","",VLOOKUP(D133,ORÇAMENTO!$B$7:$E$73,2,0))</f>
        <v>Alvenaria</v>
      </c>
      <c r="F133" s="35" t="s">
        <v>15</v>
      </c>
      <c r="G133" s="55"/>
      <c r="H133" s="56">
        <v>1</v>
      </c>
      <c r="I133" s="38">
        <v>4.7699999999999996</v>
      </c>
      <c r="J133" s="38">
        <v>1</v>
      </c>
      <c r="K133" s="39">
        <v>2.8</v>
      </c>
      <c r="L133" s="40">
        <f t="shared" si="7"/>
        <v>13.355999999999998</v>
      </c>
    </row>
    <row r="134" spans="2:12" x14ac:dyDescent="0.2">
      <c r="B134" s="34" t="s">
        <v>12</v>
      </c>
      <c r="C134" s="35" t="str">
        <f>IF(B134="","",VLOOKUP(B134,ORÇAMENTO!$B$7:C118,2,0))</f>
        <v>ALVENARIA</v>
      </c>
      <c r="D134" s="35" t="s">
        <v>107</v>
      </c>
      <c r="E134" s="35" t="str">
        <f>IF(D134="","",VLOOKUP(D134,ORÇAMENTO!$B$7:$E$73,2,0))</f>
        <v>Alvenaria</v>
      </c>
      <c r="F134" s="35" t="s">
        <v>15</v>
      </c>
      <c r="G134" s="55"/>
      <c r="H134" s="56">
        <v>1</v>
      </c>
      <c r="I134" s="38">
        <v>4.1500000000000004</v>
      </c>
      <c r="J134" s="38">
        <v>1</v>
      </c>
      <c r="K134" s="39">
        <v>2.2999999999999998</v>
      </c>
      <c r="L134" s="40">
        <f t="shared" si="7"/>
        <v>9.5449999999999999</v>
      </c>
    </row>
    <row r="135" spans="2:12" x14ac:dyDescent="0.2">
      <c r="B135" s="34" t="s">
        <v>12</v>
      </c>
      <c r="C135" s="35" t="str">
        <f>IF(B135="","",VLOOKUP(B135,ORÇAMENTO!$B$7:C119,2,0))</f>
        <v>ALVENARIA</v>
      </c>
      <c r="D135" s="35" t="s">
        <v>107</v>
      </c>
      <c r="E135" s="35" t="str">
        <f>IF(D135="","",VLOOKUP(D135,ORÇAMENTO!$B$7:$E$73,2,0))</f>
        <v>Alvenaria</v>
      </c>
      <c r="F135" s="35" t="s">
        <v>15</v>
      </c>
      <c r="G135" s="55"/>
      <c r="H135" s="56">
        <v>1</v>
      </c>
      <c r="I135" s="38">
        <v>36.729999999999997</v>
      </c>
      <c r="J135" s="38">
        <v>1</v>
      </c>
      <c r="K135" s="39">
        <v>2.15</v>
      </c>
      <c r="L135" s="40">
        <f t="shared" si="7"/>
        <v>78.969499999999996</v>
      </c>
    </row>
    <row r="136" spans="2:12" x14ac:dyDescent="0.2">
      <c r="B136" s="34" t="s">
        <v>12</v>
      </c>
      <c r="C136" s="35" t="str">
        <f>IF(B136="","",VLOOKUP(B136,ORÇAMENTO!$B$7:C120,2,0))</f>
        <v>ALVENARIA</v>
      </c>
      <c r="D136" s="35" t="s">
        <v>107</v>
      </c>
      <c r="E136" s="35" t="str">
        <f>IF(D136="","",VLOOKUP(D136,ORÇAMENTO!$B$7:$E$73,2,0))</f>
        <v>Alvenaria</v>
      </c>
      <c r="F136" s="35" t="s">
        <v>15</v>
      </c>
      <c r="G136" s="55"/>
      <c r="H136" s="56">
        <v>1</v>
      </c>
      <c r="I136" s="38">
        <v>22.01</v>
      </c>
      <c r="J136" s="38">
        <v>1</v>
      </c>
      <c r="K136" s="39">
        <v>1.8</v>
      </c>
      <c r="L136" s="40">
        <f t="shared" si="7"/>
        <v>39.618000000000002</v>
      </c>
    </row>
    <row r="137" spans="2:12" x14ac:dyDescent="0.2">
      <c r="B137" s="34" t="s">
        <v>12</v>
      </c>
      <c r="C137" s="35" t="str">
        <f>IF(B137="","",VLOOKUP(B137,ORÇAMENTO!$B$7:C121,2,0))</f>
        <v>ALVENARIA</v>
      </c>
      <c r="D137" s="35" t="s">
        <v>107</v>
      </c>
      <c r="E137" s="35" t="str">
        <f>IF(D137="","",VLOOKUP(D137,ORÇAMENTO!$B$7:$E$73,2,0))</f>
        <v>Alvenaria</v>
      </c>
      <c r="F137" s="35" t="s">
        <v>15</v>
      </c>
      <c r="G137" s="55"/>
      <c r="H137" s="56">
        <v>1</v>
      </c>
      <c r="I137" s="38">
        <v>66.05</v>
      </c>
      <c r="J137" s="38">
        <v>1</v>
      </c>
      <c r="K137" s="39">
        <v>1.2</v>
      </c>
      <c r="L137" s="40">
        <f t="shared" si="7"/>
        <v>79.259999999999991</v>
      </c>
    </row>
    <row r="138" spans="2:12" x14ac:dyDescent="0.2">
      <c r="B138" s="34" t="s">
        <v>12</v>
      </c>
      <c r="C138" s="35" t="str">
        <f>IF(B138="","",VLOOKUP(B138,ORÇAMENTO!$B$7:C119,2,0))</f>
        <v>ALVENARIA</v>
      </c>
      <c r="D138" s="35" t="s">
        <v>107</v>
      </c>
      <c r="E138" s="35" t="str">
        <f>IF(D138="","",VLOOKUP(D138,ORÇAMENTO!$B$7:$E$73,2,0))</f>
        <v>Alvenaria</v>
      </c>
      <c r="F138" s="35" t="s">
        <v>15</v>
      </c>
      <c r="G138" s="55"/>
      <c r="H138" s="56">
        <v>1</v>
      </c>
      <c r="I138" s="38">
        <v>3.3</v>
      </c>
      <c r="J138" s="38">
        <v>1</v>
      </c>
      <c r="K138" s="39">
        <v>1</v>
      </c>
      <c r="L138" s="40">
        <f t="shared" si="7"/>
        <v>3.3</v>
      </c>
    </row>
    <row r="139" spans="2:12" x14ac:dyDescent="0.2">
      <c r="B139" s="34" t="s">
        <v>12</v>
      </c>
      <c r="C139" s="35" t="str">
        <f>IF(B139="","",VLOOKUP(B139,ORÇAMENTO!$B$7:C120,2,0))</f>
        <v>ALVENARIA</v>
      </c>
      <c r="D139" s="35" t="s">
        <v>107</v>
      </c>
      <c r="E139" s="35" t="str">
        <f>IF(D139="","",VLOOKUP(D139,ORÇAMENTO!$B$7:$E$73,2,0))</f>
        <v>Alvenaria</v>
      </c>
      <c r="F139" s="35" t="s">
        <v>15</v>
      </c>
      <c r="G139" s="55"/>
      <c r="H139" s="56">
        <v>1</v>
      </c>
      <c r="I139" s="38">
        <v>1.37</v>
      </c>
      <c r="J139" s="38">
        <v>1</v>
      </c>
      <c r="K139" s="39">
        <v>0.5</v>
      </c>
      <c r="L139" s="40">
        <f t="shared" si="7"/>
        <v>0.68500000000000005</v>
      </c>
    </row>
    <row r="140" spans="2:12" x14ac:dyDescent="0.2">
      <c r="B140" s="34" t="s">
        <v>12</v>
      </c>
      <c r="C140" s="35" t="str">
        <f>IF(B140="","",VLOOKUP(B140,ORÇAMENTO!$B$7:C122,2,0))</f>
        <v>ALVENARIA</v>
      </c>
      <c r="D140" s="35" t="s">
        <v>107</v>
      </c>
      <c r="E140" s="35" t="str">
        <f>IF(D140="","",VLOOKUP(D140,ORÇAMENTO!$B$7:$E$73,2,0))</f>
        <v>Alvenaria</v>
      </c>
      <c r="F140" s="35" t="s">
        <v>30</v>
      </c>
      <c r="G140" s="55"/>
      <c r="H140" s="56">
        <v>2</v>
      </c>
      <c r="I140" s="38">
        <v>15.93</v>
      </c>
      <c r="J140" s="38">
        <v>1</v>
      </c>
      <c r="K140" s="39">
        <v>2.8</v>
      </c>
      <c r="L140" s="40">
        <f t="shared" si="7"/>
        <v>89.207999999999998</v>
      </c>
    </row>
    <row r="141" spans="2:12" x14ac:dyDescent="0.2">
      <c r="B141" s="34" t="s">
        <v>12</v>
      </c>
      <c r="C141" s="35" t="str">
        <f>IF(B141="","",VLOOKUP(B141,ORÇAMENTO!$B$7:C123,2,0))</f>
        <v>ALVENARIA</v>
      </c>
      <c r="D141" s="35" t="s">
        <v>107</v>
      </c>
      <c r="E141" s="35" t="str">
        <f>IF(D141="","",VLOOKUP(D141,ORÇAMENTO!$B$7:$E$73,2,0))</f>
        <v>Alvenaria</v>
      </c>
      <c r="F141" s="35" t="s">
        <v>30</v>
      </c>
      <c r="G141" s="55"/>
      <c r="H141" s="56">
        <v>1</v>
      </c>
      <c r="I141" s="38">
        <v>6.9</v>
      </c>
      <c r="J141" s="38">
        <v>1</v>
      </c>
      <c r="K141" s="39">
        <v>2.8</v>
      </c>
      <c r="L141" s="40">
        <f t="shared" si="7"/>
        <v>19.32</v>
      </c>
    </row>
    <row r="142" spans="2:12" x14ac:dyDescent="0.2">
      <c r="B142" s="43" t="s">
        <v>13</v>
      </c>
      <c r="C142" s="44" t="str">
        <f>IF(B142="","",VLOOKUP(B142,ORÇAMENTO!$B$7:C349,2,0))</f>
        <v>ESQUADRIAS</v>
      </c>
      <c r="D142" s="44" t="s">
        <v>108</v>
      </c>
      <c r="E142" s="44" t="str">
        <f>IF(D142="","",VLOOKUP(D142,ORÇAMENTO!$B$7:$E$73,2,0))</f>
        <v>Esquadria de Alumínio</v>
      </c>
      <c r="F142" s="44" t="s">
        <v>28</v>
      </c>
      <c r="G142" s="44" t="s">
        <v>75</v>
      </c>
      <c r="H142" s="45">
        <v>2</v>
      </c>
      <c r="I142" s="46">
        <v>0.6</v>
      </c>
      <c r="J142" s="46">
        <v>0.6</v>
      </c>
      <c r="K142" s="47">
        <v>1</v>
      </c>
      <c r="L142" s="51">
        <f t="shared" si="7"/>
        <v>0.72</v>
      </c>
    </row>
    <row r="143" spans="2:12" x14ac:dyDescent="0.2">
      <c r="B143" s="43" t="s">
        <v>13</v>
      </c>
      <c r="C143" s="44" t="str">
        <f>IF(B143="","",VLOOKUP(B143,ORÇAMENTO!$B$7:C350,2,0))</f>
        <v>ESQUADRIAS</v>
      </c>
      <c r="D143" s="44" t="s">
        <v>108</v>
      </c>
      <c r="E143" s="44" t="str">
        <f>IF(D143="","",VLOOKUP(D143,ORÇAMENTO!$B$7:$E$73,2,0))</f>
        <v>Esquadria de Alumínio</v>
      </c>
      <c r="F143" s="44" t="s">
        <v>28</v>
      </c>
      <c r="G143" s="44" t="s">
        <v>76</v>
      </c>
      <c r="H143" s="45">
        <v>1</v>
      </c>
      <c r="I143" s="46">
        <v>1</v>
      </c>
      <c r="J143" s="46">
        <v>0.6</v>
      </c>
      <c r="K143" s="47">
        <v>1</v>
      </c>
      <c r="L143" s="51">
        <f t="shared" si="7"/>
        <v>0.6</v>
      </c>
    </row>
    <row r="144" spans="2:12" x14ac:dyDescent="0.2">
      <c r="B144" s="43" t="s">
        <v>13</v>
      </c>
      <c r="C144" s="44" t="str">
        <f>IF(B144="","",VLOOKUP(B144,ORÇAMENTO!$B$7:C351,2,0))</f>
        <v>ESQUADRIAS</v>
      </c>
      <c r="D144" s="44" t="s">
        <v>108</v>
      </c>
      <c r="E144" s="44" t="str">
        <f>IF(D144="","",VLOOKUP(D144,ORÇAMENTO!$B$7:$E$73,2,0))</f>
        <v>Esquadria de Alumínio</v>
      </c>
      <c r="F144" s="44" t="s">
        <v>28</v>
      </c>
      <c r="G144" s="44" t="s">
        <v>77</v>
      </c>
      <c r="H144" s="45">
        <v>1</v>
      </c>
      <c r="I144" s="46">
        <v>3.4</v>
      </c>
      <c r="J144" s="46">
        <v>0.6</v>
      </c>
      <c r="K144" s="47">
        <v>1</v>
      </c>
      <c r="L144" s="51">
        <f t="shared" si="7"/>
        <v>2.04</v>
      </c>
    </row>
    <row r="145" spans="2:12" x14ac:dyDescent="0.2">
      <c r="B145" s="43" t="s">
        <v>13</v>
      </c>
      <c r="C145" s="44" t="str">
        <f>IF(B145="","",VLOOKUP(B145,ORÇAMENTO!$B$7:C352,2,0))</f>
        <v>ESQUADRIAS</v>
      </c>
      <c r="D145" s="44" t="s">
        <v>108</v>
      </c>
      <c r="E145" s="44" t="str">
        <f>IF(D145="","",VLOOKUP(D145,ORÇAMENTO!$B$7:$E$73,2,0))</f>
        <v>Esquadria de Alumínio</v>
      </c>
      <c r="F145" s="44" t="s">
        <v>28</v>
      </c>
      <c r="G145" s="44" t="s">
        <v>78</v>
      </c>
      <c r="H145" s="45">
        <v>1</v>
      </c>
      <c r="I145" s="46">
        <v>1.65</v>
      </c>
      <c r="J145" s="46">
        <v>0.6</v>
      </c>
      <c r="K145" s="47">
        <v>1</v>
      </c>
      <c r="L145" s="51">
        <f t="shared" si="7"/>
        <v>0.98999999999999988</v>
      </c>
    </row>
    <row r="146" spans="2:12" x14ac:dyDescent="0.2">
      <c r="B146" s="43" t="s">
        <v>13</v>
      </c>
      <c r="C146" s="44" t="str">
        <f>IF(B146="","",VLOOKUP(B146,ORÇAMENTO!$B$7:C353,2,0))</f>
        <v>ESQUADRIAS</v>
      </c>
      <c r="D146" s="44" t="s">
        <v>108</v>
      </c>
      <c r="E146" s="44" t="str">
        <f>IF(D146="","",VLOOKUP(D146,ORÇAMENTO!$B$7:$E$73,2,0))</f>
        <v>Esquadria de Alumínio</v>
      </c>
      <c r="F146" s="44" t="s">
        <v>28</v>
      </c>
      <c r="G146" s="44" t="s">
        <v>79</v>
      </c>
      <c r="H146" s="45">
        <v>1</v>
      </c>
      <c r="I146" s="46">
        <v>2.4</v>
      </c>
      <c r="J146" s="46">
        <v>1.2</v>
      </c>
      <c r="K146" s="47">
        <v>1</v>
      </c>
      <c r="L146" s="51">
        <f t="shared" si="7"/>
        <v>2.88</v>
      </c>
    </row>
    <row r="147" spans="2:12" x14ac:dyDescent="0.2">
      <c r="B147" s="43" t="s">
        <v>13</v>
      </c>
      <c r="C147" s="44" t="str">
        <f>IF(B147="","",VLOOKUP(B147,ORÇAMENTO!$B$7:C354,2,0))</f>
        <v>ESQUADRIAS</v>
      </c>
      <c r="D147" s="44" t="s">
        <v>108</v>
      </c>
      <c r="E147" s="44" t="str">
        <f>IF(D147="","",VLOOKUP(D147,ORÇAMENTO!$B$7:$E$73,2,0))</f>
        <v>Esquadria de Alumínio</v>
      </c>
      <c r="F147" s="44" t="s">
        <v>28</v>
      </c>
      <c r="G147" s="44" t="s">
        <v>80</v>
      </c>
      <c r="H147" s="45">
        <v>1</v>
      </c>
      <c r="I147" s="46">
        <v>7.45</v>
      </c>
      <c r="J147" s="46">
        <v>1</v>
      </c>
      <c r="K147" s="47">
        <v>1</v>
      </c>
      <c r="L147" s="51">
        <f t="shared" si="7"/>
        <v>7.45</v>
      </c>
    </row>
    <row r="148" spans="2:12" x14ac:dyDescent="0.2">
      <c r="B148" s="43" t="s">
        <v>13</v>
      </c>
      <c r="C148" s="44" t="str">
        <f>IF(B148="","",VLOOKUP(B148,ORÇAMENTO!$B$7:C361,2,0))</f>
        <v>ESQUADRIAS</v>
      </c>
      <c r="D148" s="44" t="s">
        <v>108</v>
      </c>
      <c r="E148" s="44" t="str">
        <f>IF(D148="","",VLOOKUP(D148,ORÇAMENTO!$B$7:$E$73,2,0))</f>
        <v>Esquadria de Alumínio</v>
      </c>
      <c r="F148" s="44" t="s">
        <v>29</v>
      </c>
      <c r="G148" s="44" t="s">
        <v>81</v>
      </c>
      <c r="H148" s="45">
        <f>5*2</f>
        <v>10</v>
      </c>
      <c r="I148" s="46">
        <v>1.5</v>
      </c>
      <c r="J148" s="46">
        <v>1</v>
      </c>
      <c r="K148" s="47">
        <v>0.6</v>
      </c>
      <c r="L148" s="51">
        <f t="shared" si="7"/>
        <v>9</v>
      </c>
    </row>
    <row r="149" spans="2:12" x14ac:dyDescent="0.2">
      <c r="B149" s="43" t="s">
        <v>13</v>
      </c>
      <c r="C149" s="44" t="str">
        <f>IF(B149="","",VLOOKUP(B149,ORÇAMENTO!$B$7:C362,2,0))</f>
        <v>ESQUADRIAS</v>
      </c>
      <c r="D149" s="44" t="s">
        <v>108</v>
      </c>
      <c r="E149" s="44" t="str">
        <f>IF(D149="","",VLOOKUP(D149,ORÇAMENTO!$B$7:$E$73,2,0))</f>
        <v>Esquadria de Alumínio</v>
      </c>
      <c r="F149" s="44" t="s">
        <v>29</v>
      </c>
      <c r="G149" s="44" t="s">
        <v>82</v>
      </c>
      <c r="H149" s="45">
        <f>5*2</f>
        <v>10</v>
      </c>
      <c r="I149" s="46">
        <v>1.5</v>
      </c>
      <c r="J149" s="46">
        <v>1.2</v>
      </c>
      <c r="K149" s="47">
        <v>1</v>
      </c>
      <c r="L149" s="51">
        <f t="shared" si="7"/>
        <v>18</v>
      </c>
    </row>
    <row r="150" spans="2:12" x14ac:dyDescent="0.2">
      <c r="B150" s="43" t="s">
        <v>13</v>
      </c>
      <c r="C150" s="44" t="str">
        <f>IF(B150="","",VLOOKUP(B150,ORÇAMENTO!$B$7:C363,2,0))</f>
        <v>ESQUADRIAS</v>
      </c>
      <c r="D150" s="44" t="s">
        <v>108</v>
      </c>
      <c r="E150" s="44" t="str">
        <f>IF(D150="","",VLOOKUP(D150,ORÇAMENTO!$B$7:$E$73,2,0))</f>
        <v>Esquadria de Alumínio</v>
      </c>
      <c r="F150" s="44" t="s">
        <v>29</v>
      </c>
      <c r="G150" s="44" t="s">
        <v>83</v>
      </c>
      <c r="H150" s="45">
        <f>5*1</f>
        <v>5</v>
      </c>
      <c r="I150" s="46">
        <v>1</v>
      </c>
      <c r="J150" s="46">
        <v>1</v>
      </c>
      <c r="K150" s="47">
        <v>0.6</v>
      </c>
      <c r="L150" s="51">
        <f t="shared" si="7"/>
        <v>3</v>
      </c>
    </row>
    <row r="151" spans="2:12" x14ac:dyDescent="0.2">
      <c r="B151" s="43" t="s">
        <v>13</v>
      </c>
      <c r="C151" s="44" t="str">
        <f>IF(B151="","",VLOOKUP(B151,ORÇAMENTO!$B$7:C364,2,0))</f>
        <v>ESQUADRIAS</v>
      </c>
      <c r="D151" s="44" t="s">
        <v>108</v>
      </c>
      <c r="E151" s="44" t="str">
        <f>IF(D151="","",VLOOKUP(D151,ORÇAMENTO!$B$7:$E$73,2,0))</f>
        <v>Esquadria de Alumínio</v>
      </c>
      <c r="F151" s="44" t="s">
        <v>29</v>
      </c>
      <c r="G151" s="44" t="s">
        <v>84</v>
      </c>
      <c r="H151" s="45">
        <f>5*1</f>
        <v>5</v>
      </c>
      <c r="I151" s="46">
        <v>0.75</v>
      </c>
      <c r="J151" s="46">
        <v>1</v>
      </c>
      <c r="K151" s="47">
        <v>0.6</v>
      </c>
      <c r="L151" s="51">
        <f t="shared" si="7"/>
        <v>2.25</v>
      </c>
    </row>
    <row r="152" spans="2:12" x14ac:dyDescent="0.2">
      <c r="B152" s="43" t="s">
        <v>13</v>
      </c>
      <c r="C152" s="44" t="str">
        <f>IF(B152="","",VLOOKUP(B152,ORÇAMENTO!$B$7:C365,2,0))</f>
        <v>ESQUADRIAS</v>
      </c>
      <c r="D152" s="44" t="s">
        <v>108</v>
      </c>
      <c r="E152" s="44" t="str">
        <f>IF(D152="","",VLOOKUP(D152,ORÇAMENTO!$B$7:$E$73,2,0))</f>
        <v>Esquadria de Alumínio</v>
      </c>
      <c r="F152" s="44" t="s">
        <v>29</v>
      </c>
      <c r="G152" s="44" t="s">
        <v>248</v>
      </c>
      <c r="H152" s="45">
        <f>5*3</f>
        <v>15</v>
      </c>
      <c r="I152" s="46">
        <v>1.5</v>
      </c>
      <c r="J152" s="46">
        <v>2.2000000000000002</v>
      </c>
      <c r="K152" s="47">
        <v>1</v>
      </c>
      <c r="L152" s="51">
        <f t="shared" si="7"/>
        <v>49.500000000000007</v>
      </c>
    </row>
    <row r="153" spans="2:12" x14ac:dyDescent="0.2">
      <c r="B153" s="43" t="s">
        <v>13</v>
      </c>
      <c r="C153" s="44" t="str">
        <f>IF(B153="","",VLOOKUP(B153,ORÇAMENTO!$B$7:C366,2,0))</f>
        <v>ESQUADRIAS</v>
      </c>
      <c r="D153" s="44" t="s">
        <v>108</v>
      </c>
      <c r="E153" s="44" t="str">
        <f>IF(D153="","",VLOOKUP(D153,ORÇAMENTO!$B$7:$E$73,2,0))</f>
        <v>Esquadria de Alumínio</v>
      </c>
      <c r="F153" s="44" t="s">
        <v>29</v>
      </c>
      <c r="G153" s="44" t="s">
        <v>249</v>
      </c>
      <c r="H153" s="45">
        <f>5*1</f>
        <v>5</v>
      </c>
      <c r="I153" s="46">
        <v>5</v>
      </c>
      <c r="J153" s="46">
        <v>2.2000000000000002</v>
      </c>
      <c r="K153" s="47">
        <v>1</v>
      </c>
      <c r="L153" s="51">
        <f t="shared" si="7"/>
        <v>55.000000000000007</v>
      </c>
    </row>
    <row r="154" spans="2:12" x14ac:dyDescent="0.2">
      <c r="B154" s="43" t="s">
        <v>13</v>
      </c>
      <c r="C154" s="44" t="str">
        <f>IF(B154="","",VLOOKUP(B154,ORÇAMENTO!$B$7:C376,2,0))</f>
        <v>ESQUADRIAS</v>
      </c>
      <c r="D154" s="44" t="s">
        <v>108</v>
      </c>
      <c r="E154" s="44" t="str">
        <f>IF(D154="","",VLOOKUP(D154,ORÇAMENTO!$B$7:$E$73,2,0))</f>
        <v>Esquadria de Alumínio</v>
      </c>
      <c r="F154" s="44" t="s">
        <v>34</v>
      </c>
      <c r="G154" s="44" t="s">
        <v>83</v>
      </c>
      <c r="H154" s="45">
        <v>1</v>
      </c>
      <c r="I154" s="46">
        <v>0.6</v>
      </c>
      <c r="J154" s="46">
        <v>0.6</v>
      </c>
      <c r="K154" s="47">
        <v>1</v>
      </c>
      <c r="L154" s="51">
        <f t="shared" si="7"/>
        <v>0.36</v>
      </c>
    </row>
    <row r="155" spans="2:12" x14ac:dyDescent="0.2">
      <c r="B155" s="43" t="s">
        <v>13</v>
      </c>
      <c r="C155" s="44" t="str">
        <f>IF(B155="","",VLOOKUP(B155,ORÇAMENTO!$B$7:C377,2,0))</f>
        <v>ESQUADRIAS</v>
      </c>
      <c r="D155" s="44" t="s">
        <v>108</v>
      </c>
      <c r="E155" s="44" t="str">
        <f>IF(D155="","",VLOOKUP(D155,ORÇAMENTO!$B$7:$E$73,2,0))</f>
        <v>Esquadria de Alumínio</v>
      </c>
      <c r="F155" s="44" t="s">
        <v>34</v>
      </c>
      <c r="G155" s="44" t="s">
        <v>84</v>
      </c>
      <c r="H155" s="45">
        <v>2</v>
      </c>
      <c r="I155" s="46">
        <v>1.5</v>
      </c>
      <c r="J155" s="46">
        <v>1.2</v>
      </c>
      <c r="K155" s="47">
        <v>1</v>
      </c>
      <c r="L155" s="51">
        <f t="shared" si="7"/>
        <v>3.5999999999999996</v>
      </c>
    </row>
    <row r="156" spans="2:12" x14ac:dyDescent="0.2">
      <c r="B156" s="43" t="s">
        <v>13</v>
      </c>
      <c r="C156" s="44" t="str">
        <f>IF(B156="","",VLOOKUP(B156,ORÇAMENTO!$B$7:C378,2,0))</f>
        <v>ESQUADRIAS</v>
      </c>
      <c r="D156" s="44" t="s">
        <v>108</v>
      </c>
      <c r="E156" s="44" t="str">
        <f>IF(D156="","",VLOOKUP(D156,ORÇAMENTO!$B$7:$E$73,2,0))</f>
        <v>Esquadria de Alumínio</v>
      </c>
      <c r="F156" s="44" t="s">
        <v>34</v>
      </c>
      <c r="G156" s="44" t="s">
        <v>248</v>
      </c>
      <c r="H156" s="45">
        <v>3</v>
      </c>
      <c r="I156" s="46">
        <v>1.5</v>
      </c>
      <c r="J156" s="46">
        <v>2.2000000000000002</v>
      </c>
      <c r="K156" s="47">
        <v>1</v>
      </c>
      <c r="L156" s="51">
        <f t="shared" ref="L156:L187" si="8">H156*I156*J156*K156</f>
        <v>9.9</v>
      </c>
    </row>
    <row r="157" spans="2:12" x14ac:dyDescent="0.2">
      <c r="B157" s="43" t="s">
        <v>13</v>
      </c>
      <c r="C157" s="44" t="str">
        <f>IF(B157="","",VLOOKUP(B157,ORÇAMENTO!$B$7:C379,2,0))</f>
        <v>ESQUADRIAS</v>
      </c>
      <c r="D157" s="44" t="s">
        <v>108</v>
      </c>
      <c r="E157" s="44" t="str">
        <f>IF(D157="","",VLOOKUP(D157,ORÇAMENTO!$B$7:$E$73,2,0))</f>
        <v>Esquadria de Alumínio</v>
      </c>
      <c r="F157" s="44" t="s">
        <v>34</v>
      </c>
      <c r="G157" s="44" t="s">
        <v>249</v>
      </c>
      <c r="H157" s="45">
        <v>1</v>
      </c>
      <c r="I157" s="46">
        <v>5</v>
      </c>
      <c r="J157" s="46">
        <v>2.2000000000000002</v>
      </c>
      <c r="K157" s="47">
        <v>1.1000000000000001</v>
      </c>
      <c r="L157" s="51">
        <f t="shared" si="8"/>
        <v>12.100000000000001</v>
      </c>
    </row>
    <row r="158" spans="2:12" x14ac:dyDescent="0.2">
      <c r="B158" s="43" t="s">
        <v>13</v>
      </c>
      <c r="C158" s="44" t="str">
        <f>IF(B158="","",VLOOKUP(B158,ORÇAMENTO!$B$7:C389,2,0))</f>
        <v>ESQUADRIAS</v>
      </c>
      <c r="D158" s="44" t="s">
        <v>108</v>
      </c>
      <c r="E158" s="44" t="str">
        <f>IF(D158="","",VLOOKUP(D158,ORÇAMENTO!$B$7:$E$73,2,0))</f>
        <v>Esquadria de Alumínio</v>
      </c>
      <c r="F158" s="44" t="s">
        <v>15</v>
      </c>
      <c r="G158" s="44" t="s">
        <v>85</v>
      </c>
      <c r="H158" s="45">
        <v>1</v>
      </c>
      <c r="I158" s="46">
        <v>1.65</v>
      </c>
      <c r="J158" s="46">
        <v>1</v>
      </c>
      <c r="K158" s="47">
        <v>0.35</v>
      </c>
      <c r="L158" s="51">
        <f t="shared" si="8"/>
        <v>0.5774999999999999</v>
      </c>
    </row>
    <row r="159" spans="2:12" x14ac:dyDescent="0.2">
      <c r="B159" s="43" t="s">
        <v>13</v>
      </c>
      <c r="C159" s="44" t="str">
        <f>IF(B159="","",VLOOKUP(B159,ORÇAMENTO!$B$7:C393,2,0))</f>
        <v>ESQUADRIAS</v>
      </c>
      <c r="D159" s="44" t="s">
        <v>108</v>
      </c>
      <c r="E159" s="44" t="str">
        <f>IF(D159="","",VLOOKUP(D159,ORÇAMENTO!$B$7:$E$73,2,0))</f>
        <v>Esquadria de Alumínio</v>
      </c>
      <c r="F159" s="44" t="s">
        <v>30</v>
      </c>
      <c r="G159" s="44" t="s">
        <v>86</v>
      </c>
      <c r="H159" s="45">
        <v>1</v>
      </c>
      <c r="I159" s="46">
        <v>3.25</v>
      </c>
      <c r="J159" s="46">
        <v>1</v>
      </c>
      <c r="K159" s="47">
        <v>0.35</v>
      </c>
      <c r="L159" s="51">
        <f t="shared" si="8"/>
        <v>1.1375</v>
      </c>
    </row>
    <row r="160" spans="2:12" x14ac:dyDescent="0.2">
      <c r="B160" s="43" t="s">
        <v>13</v>
      </c>
      <c r="C160" s="44" t="str">
        <f>IF(B160="","",VLOOKUP(B160,ORÇAMENTO!$B$7:C394,2,0))</f>
        <v>ESQUADRIAS</v>
      </c>
      <c r="D160" s="44" t="s">
        <v>108</v>
      </c>
      <c r="E160" s="44" t="str">
        <f>IF(D160="","",VLOOKUP(D160,ORÇAMENTO!$B$7:$E$73,2,0))</f>
        <v>Esquadria de Alumínio</v>
      </c>
      <c r="F160" s="44" t="s">
        <v>30</v>
      </c>
      <c r="G160" s="44" t="s">
        <v>87</v>
      </c>
      <c r="H160" s="45">
        <v>1</v>
      </c>
      <c r="I160" s="46">
        <v>0.6</v>
      </c>
      <c r="J160" s="46">
        <v>1</v>
      </c>
      <c r="K160" s="47">
        <v>0.6</v>
      </c>
      <c r="L160" s="51">
        <f t="shared" si="8"/>
        <v>0.36</v>
      </c>
    </row>
    <row r="161" spans="2:12" x14ac:dyDescent="0.2">
      <c r="B161" s="43" t="s">
        <v>13</v>
      </c>
      <c r="C161" s="44" t="str">
        <f>IF(B161="","",VLOOKUP(B161,ORÇAMENTO!$B$7:C339,2,0))</f>
        <v>ESQUADRIAS</v>
      </c>
      <c r="D161" s="44" t="s">
        <v>109</v>
      </c>
      <c r="E161" s="44" t="e">
        <f>IF(D161="","",VLOOKUP(D161,ORÇAMENTO!$B$7:$E$73,2,0))</f>
        <v>#N/A</v>
      </c>
      <c r="F161" s="44" t="s">
        <v>232</v>
      </c>
      <c r="G161" s="57" t="s">
        <v>235</v>
      </c>
      <c r="H161" s="45">
        <v>1</v>
      </c>
      <c r="I161" s="46">
        <v>1</v>
      </c>
      <c r="J161" s="46">
        <v>1</v>
      </c>
      <c r="K161" s="47">
        <v>8</v>
      </c>
      <c r="L161" s="58">
        <f t="shared" si="8"/>
        <v>8</v>
      </c>
    </row>
    <row r="162" spans="2:12" x14ac:dyDescent="0.2">
      <c r="B162" s="43" t="s">
        <v>13</v>
      </c>
      <c r="C162" s="44" t="str">
        <f>IF(B162="","",VLOOKUP(B162,ORÇAMENTO!$B$7:C340,2,0))</f>
        <v>ESQUADRIAS</v>
      </c>
      <c r="D162" s="44" t="s">
        <v>109</v>
      </c>
      <c r="E162" s="44" t="e">
        <f>IF(D162="","",VLOOKUP(D162,ORÇAMENTO!$B$7:$E$73,2,0))</f>
        <v>#N/A</v>
      </c>
      <c r="F162" s="44" t="s">
        <v>232</v>
      </c>
      <c r="G162" s="57" t="s">
        <v>236</v>
      </c>
      <c r="H162" s="45">
        <v>1</v>
      </c>
      <c r="I162" s="46">
        <v>1</v>
      </c>
      <c r="J162" s="46">
        <v>1</v>
      </c>
      <c r="K162" s="47">
        <v>1</v>
      </c>
      <c r="L162" s="58">
        <f t="shared" si="8"/>
        <v>1</v>
      </c>
    </row>
    <row r="163" spans="2:12" x14ac:dyDescent="0.2">
      <c r="B163" s="43" t="s">
        <v>13</v>
      </c>
      <c r="C163" s="44" t="str">
        <f>IF(B163="","",VLOOKUP(B163,ORÇAMENTO!$B$7:C341,2,0))</f>
        <v>ESQUADRIAS</v>
      </c>
      <c r="D163" s="44" t="s">
        <v>109</v>
      </c>
      <c r="E163" s="44" t="e">
        <f>IF(D163="","",VLOOKUP(D163,ORÇAMENTO!$B$7:$E$73,2,0))</f>
        <v>#N/A</v>
      </c>
      <c r="F163" s="44" t="s">
        <v>232</v>
      </c>
      <c r="G163" s="57" t="s">
        <v>237</v>
      </c>
      <c r="H163" s="45">
        <v>1</v>
      </c>
      <c r="I163" s="46">
        <v>1</v>
      </c>
      <c r="J163" s="46">
        <v>1</v>
      </c>
      <c r="K163" s="47">
        <v>1</v>
      </c>
      <c r="L163" s="58">
        <f t="shared" si="8"/>
        <v>1</v>
      </c>
    </row>
    <row r="164" spans="2:12" x14ac:dyDescent="0.2">
      <c r="B164" s="43" t="s">
        <v>13</v>
      </c>
      <c r="C164" s="44" t="str">
        <f>IF(B164="","",VLOOKUP(B164,ORÇAMENTO!$B$7:C340,2,0))</f>
        <v>ESQUADRIAS</v>
      </c>
      <c r="D164" s="44" t="s">
        <v>109</v>
      </c>
      <c r="E164" s="44" t="e">
        <f>IF(D164="","",VLOOKUP(D164,ORÇAMENTO!$B$7:$E$73,2,0))</f>
        <v>#N/A</v>
      </c>
      <c r="F164" s="44" t="s">
        <v>31</v>
      </c>
      <c r="G164" s="44" t="s">
        <v>243</v>
      </c>
      <c r="H164" s="45">
        <v>2</v>
      </c>
      <c r="I164" s="46">
        <v>1</v>
      </c>
      <c r="J164" s="46">
        <v>1</v>
      </c>
      <c r="K164" s="47">
        <v>1</v>
      </c>
      <c r="L164" s="58">
        <f t="shared" si="8"/>
        <v>2</v>
      </c>
    </row>
    <row r="165" spans="2:12" x14ac:dyDescent="0.2">
      <c r="B165" s="43" t="s">
        <v>13</v>
      </c>
      <c r="C165" s="44" t="str">
        <f>IF(B165="","",VLOOKUP(B165,ORÇAMENTO!$B$7:C342,2,0))</f>
        <v>ESQUADRIAS</v>
      </c>
      <c r="D165" s="44" t="s">
        <v>109</v>
      </c>
      <c r="E165" s="44" t="e">
        <f>IF(D165="","",VLOOKUP(D165,ORÇAMENTO!$B$7:$E$73,2,0))</f>
        <v>#N/A</v>
      </c>
      <c r="F165" s="44" t="s">
        <v>31</v>
      </c>
      <c r="G165" s="44" t="s">
        <v>236</v>
      </c>
      <c r="H165" s="45">
        <v>1</v>
      </c>
      <c r="I165" s="46">
        <v>1</v>
      </c>
      <c r="J165" s="46">
        <v>1</v>
      </c>
      <c r="K165" s="47">
        <v>1</v>
      </c>
      <c r="L165" s="58">
        <f t="shared" si="8"/>
        <v>1</v>
      </c>
    </row>
    <row r="166" spans="2:12" x14ac:dyDescent="0.2">
      <c r="B166" s="43" t="s">
        <v>13</v>
      </c>
      <c r="C166" s="44" t="str">
        <f>IF(B166="","",VLOOKUP(B166,ORÇAMENTO!$B$7:C343,2,0))</f>
        <v>ESQUADRIAS</v>
      </c>
      <c r="D166" s="44" t="s">
        <v>109</v>
      </c>
      <c r="E166" s="44" t="e">
        <f>IF(D166="","",VLOOKUP(D166,ORÇAMENTO!$B$7:$E$73,2,0))</f>
        <v>#N/A</v>
      </c>
      <c r="F166" s="44" t="s">
        <v>31</v>
      </c>
      <c r="G166" s="44" t="s">
        <v>244</v>
      </c>
      <c r="H166" s="45">
        <v>1</v>
      </c>
      <c r="I166" s="46">
        <v>1</v>
      </c>
      <c r="J166" s="46">
        <v>1</v>
      </c>
      <c r="K166" s="47">
        <v>1</v>
      </c>
      <c r="L166" s="58">
        <f t="shared" si="8"/>
        <v>1</v>
      </c>
    </row>
    <row r="167" spans="2:12" x14ac:dyDescent="0.2">
      <c r="B167" s="43" t="s">
        <v>13</v>
      </c>
      <c r="C167" s="44" t="str">
        <f>IF(B167="","",VLOOKUP(B167,ORÇAMENTO!$B$7:C345,2,0))</f>
        <v>ESQUADRIAS</v>
      </c>
      <c r="D167" s="44" t="s">
        <v>109</v>
      </c>
      <c r="E167" s="44" t="e">
        <f>IF(D167="","",VLOOKUP(D167,ORÇAMENTO!$B$7:$E$73,2,0))</f>
        <v>#N/A</v>
      </c>
      <c r="F167" s="44" t="s">
        <v>28</v>
      </c>
      <c r="G167" s="44" t="s">
        <v>70</v>
      </c>
      <c r="H167" s="45">
        <v>3</v>
      </c>
      <c r="I167" s="46">
        <v>1</v>
      </c>
      <c r="J167" s="46">
        <v>1</v>
      </c>
      <c r="K167" s="47">
        <v>1</v>
      </c>
      <c r="L167" s="58">
        <f t="shared" si="8"/>
        <v>3</v>
      </c>
    </row>
    <row r="168" spans="2:12" x14ac:dyDescent="0.2">
      <c r="B168" s="43" t="s">
        <v>13</v>
      </c>
      <c r="C168" s="44" t="str">
        <f>IF(B168="","",VLOOKUP(B168,ORÇAMENTO!$B$7:C346,2,0))</f>
        <v>ESQUADRIAS</v>
      </c>
      <c r="D168" s="44" t="s">
        <v>109</v>
      </c>
      <c r="E168" s="44" t="e">
        <f>IF(D168="","",VLOOKUP(D168,ORÇAMENTO!$B$7:$E$73,2,0))</f>
        <v>#N/A</v>
      </c>
      <c r="F168" s="44" t="s">
        <v>28</v>
      </c>
      <c r="G168" s="44" t="s">
        <v>245</v>
      </c>
      <c r="H168" s="45">
        <v>4</v>
      </c>
      <c r="I168" s="46">
        <v>1</v>
      </c>
      <c r="J168" s="46">
        <v>1</v>
      </c>
      <c r="K168" s="47">
        <v>1</v>
      </c>
      <c r="L168" s="58">
        <f t="shared" si="8"/>
        <v>4</v>
      </c>
    </row>
    <row r="169" spans="2:12" x14ac:dyDescent="0.2">
      <c r="B169" s="43" t="s">
        <v>13</v>
      </c>
      <c r="C169" s="44" t="str">
        <f>IF(B169="","",VLOOKUP(B169,ORÇAMENTO!$B$7:C347,2,0))</f>
        <v>ESQUADRIAS</v>
      </c>
      <c r="D169" s="44" t="s">
        <v>109</v>
      </c>
      <c r="E169" s="44" t="e">
        <f>IF(D169="","",VLOOKUP(D169,ORÇAMENTO!$B$7:$E$73,2,0))</f>
        <v>#N/A</v>
      </c>
      <c r="F169" s="44" t="s">
        <v>28</v>
      </c>
      <c r="G169" s="44" t="s">
        <v>246</v>
      </c>
      <c r="H169" s="45">
        <v>4</v>
      </c>
      <c r="I169" s="46">
        <v>1</v>
      </c>
      <c r="J169" s="46">
        <v>1</v>
      </c>
      <c r="K169" s="47">
        <v>1</v>
      </c>
      <c r="L169" s="58">
        <f t="shared" si="8"/>
        <v>4</v>
      </c>
    </row>
    <row r="170" spans="2:12" x14ac:dyDescent="0.2">
      <c r="B170" s="43" t="s">
        <v>13</v>
      </c>
      <c r="C170" s="44" t="str">
        <f>IF(B170="","",VLOOKUP(B170,ORÇAMENTO!$B$7:C348,2,0))</f>
        <v>ESQUADRIAS</v>
      </c>
      <c r="D170" s="44" t="s">
        <v>109</v>
      </c>
      <c r="E170" s="44" t="e">
        <f>IF(D170="","",VLOOKUP(D170,ORÇAMENTO!$B$7:$E$73,2,0))</f>
        <v>#N/A</v>
      </c>
      <c r="F170" s="44" t="s">
        <v>28</v>
      </c>
      <c r="G170" s="44" t="s">
        <v>247</v>
      </c>
      <c r="H170" s="45">
        <v>2</v>
      </c>
      <c r="I170" s="46">
        <v>1</v>
      </c>
      <c r="J170" s="46">
        <v>1</v>
      </c>
      <c r="K170" s="47">
        <v>1</v>
      </c>
      <c r="L170" s="58">
        <f t="shared" si="8"/>
        <v>2</v>
      </c>
    </row>
    <row r="171" spans="2:12" x14ac:dyDescent="0.2">
      <c r="B171" s="43" t="s">
        <v>13</v>
      </c>
      <c r="C171" s="44" t="str">
        <f>IF(B171="","",VLOOKUP(B171,ORÇAMENTO!$B$7:C356,2,0))</f>
        <v>ESQUADRIAS</v>
      </c>
      <c r="D171" s="44" t="s">
        <v>109</v>
      </c>
      <c r="E171" s="44" t="e">
        <f>IF(D171="","",VLOOKUP(D171,ORÇAMENTO!$B$7:$E$73,2,0))</f>
        <v>#N/A</v>
      </c>
      <c r="F171" s="44" t="s">
        <v>29</v>
      </c>
      <c r="G171" s="44" t="s">
        <v>70</v>
      </c>
      <c r="H171" s="45">
        <f>5*5</f>
        <v>25</v>
      </c>
      <c r="I171" s="46">
        <v>1</v>
      </c>
      <c r="J171" s="46">
        <v>1</v>
      </c>
      <c r="K171" s="47">
        <v>1</v>
      </c>
      <c r="L171" s="58">
        <f t="shared" si="8"/>
        <v>25</v>
      </c>
    </row>
    <row r="172" spans="2:12" x14ac:dyDescent="0.2">
      <c r="B172" s="43" t="s">
        <v>13</v>
      </c>
      <c r="C172" s="44" t="str">
        <f>IF(B172="","",VLOOKUP(B172,ORÇAMENTO!$B$7:C357,2,0))</f>
        <v>ESQUADRIAS</v>
      </c>
      <c r="D172" s="44" t="s">
        <v>109</v>
      </c>
      <c r="E172" s="44" t="e">
        <f>IF(D172="","",VLOOKUP(D172,ORÇAMENTO!$B$7:$E$73,2,0))</f>
        <v>#N/A</v>
      </c>
      <c r="F172" s="44" t="s">
        <v>29</v>
      </c>
      <c r="G172" s="44" t="s">
        <v>245</v>
      </c>
      <c r="H172" s="45">
        <f>5*5</f>
        <v>25</v>
      </c>
      <c r="I172" s="46">
        <v>1</v>
      </c>
      <c r="J172" s="46">
        <v>1</v>
      </c>
      <c r="K172" s="47">
        <v>1</v>
      </c>
      <c r="L172" s="58">
        <f t="shared" si="8"/>
        <v>25</v>
      </c>
    </row>
    <row r="173" spans="2:12" x14ac:dyDescent="0.2">
      <c r="B173" s="43" t="s">
        <v>13</v>
      </c>
      <c r="C173" s="44" t="str">
        <f>IF(B173="","",VLOOKUP(B173,ORÇAMENTO!$B$7:C358,2,0))</f>
        <v>ESQUADRIAS</v>
      </c>
      <c r="D173" s="44" t="s">
        <v>109</v>
      </c>
      <c r="E173" s="44" t="e">
        <f>IF(D173="","",VLOOKUP(D173,ORÇAMENTO!$B$7:$E$73,2,0))</f>
        <v>#N/A</v>
      </c>
      <c r="F173" s="44" t="s">
        <v>29</v>
      </c>
      <c r="G173" s="44" t="s">
        <v>246</v>
      </c>
      <c r="H173" s="45">
        <f>4*5</f>
        <v>20</v>
      </c>
      <c r="I173" s="46">
        <v>1</v>
      </c>
      <c r="J173" s="46">
        <v>1</v>
      </c>
      <c r="K173" s="47">
        <v>1</v>
      </c>
      <c r="L173" s="58">
        <f t="shared" si="8"/>
        <v>20</v>
      </c>
    </row>
    <row r="174" spans="2:12" x14ac:dyDescent="0.2">
      <c r="B174" s="43" t="s">
        <v>13</v>
      </c>
      <c r="C174" s="44" t="str">
        <f>IF(B174="","",VLOOKUP(B174,ORÇAMENTO!$B$7:C371,2,0))</f>
        <v>ESQUADRIAS</v>
      </c>
      <c r="D174" s="44" t="s">
        <v>109</v>
      </c>
      <c r="E174" s="44" t="e">
        <f>IF(D174="","",VLOOKUP(D174,ORÇAMENTO!$B$7:$E$73,2,0))</f>
        <v>#N/A</v>
      </c>
      <c r="F174" s="44" t="s">
        <v>34</v>
      </c>
      <c r="G174" s="44" t="s">
        <v>70</v>
      </c>
      <c r="H174" s="45">
        <f>5</f>
        <v>5</v>
      </c>
      <c r="I174" s="46">
        <v>1</v>
      </c>
      <c r="J174" s="46">
        <v>1</v>
      </c>
      <c r="K174" s="47">
        <v>1</v>
      </c>
      <c r="L174" s="58">
        <f t="shared" si="8"/>
        <v>5</v>
      </c>
    </row>
    <row r="175" spans="2:12" x14ac:dyDescent="0.2">
      <c r="B175" s="43" t="s">
        <v>13</v>
      </c>
      <c r="C175" s="44" t="str">
        <f>IF(B175="","",VLOOKUP(B175,ORÇAMENTO!$B$7:C372,2,0))</f>
        <v>ESQUADRIAS</v>
      </c>
      <c r="D175" s="44" t="s">
        <v>109</v>
      </c>
      <c r="E175" s="44" t="e">
        <f>IF(D175="","",VLOOKUP(D175,ORÇAMENTO!$B$7:$E$73,2,0))</f>
        <v>#N/A</v>
      </c>
      <c r="F175" s="44" t="s">
        <v>34</v>
      </c>
      <c r="G175" s="44" t="s">
        <v>245</v>
      </c>
      <c r="H175" s="45">
        <f>5</f>
        <v>5</v>
      </c>
      <c r="I175" s="46">
        <v>1</v>
      </c>
      <c r="J175" s="46">
        <v>1</v>
      </c>
      <c r="K175" s="47">
        <v>1</v>
      </c>
      <c r="L175" s="58">
        <f t="shared" si="8"/>
        <v>5</v>
      </c>
    </row>
    <row r="176" spans="2:12" x14ac:dyDescent="0.2">
      <c r="B176" s="43" t="s">
        <v>13</v>
      </c>
      <c r="C176" s="44" t="str">
        <f>IF(B176="","",VLOOKUP(B176,ORÇAMENTO!$B$7:C373,2,0))</f>
        <v>ESQUADRIAS</v>
      </c>
      <c r="D176" s="44" t="s">
        <v>109</v>
      </c>
      <c r="E176" s="44" t="e">
        <f>IF(D176="","",VLOOKUP(D176,ORÇAMENTO!$B$7:$E$73,2,0))</f>
        <v>#N/A</v>
      </c>
      <c r="F176" s="44" t="s">
        <v>34</v>
      </c>
      <c r="G176" s="44" t="s">
        <v>246</v>
      </c>
      <c r="H176" s="45">
        <f>4</f>
        <v>4</v>
      </c>
      <c r="I176" s="46">
        <v>1</v>
      </c>
      <c r="J176" s="46">
        <v>1</v>
      </c>
      <c r="K176" s="47">
        <v>1</v>
      </c>
      <c r="L176" s="58">
        <f t="shared" si="8"/>
        <v>4</v>
      </c>
    </row>
    <row r="177" spans="2:12" x14ac:dyDescent="0.2">
      <c r="B177" s="43" t="s">
        <v>13</v>
      </c>
      <c r="C177" s="44" t="str">
        <f>IF(B177="","",VLOOKUP(B177,ORÇAMENTO!$B$7:C374,2,0))</f>
        <v>ESQUADRIAS</v>
      </c>
      <c r="D177" s="44" t="s">
        <v>109</v>
      </c>
      <c r="E177" s="44" t="e">
        <f>IF(D177="","",VLOOKUP(D177,ORÇAMENTO!$B$7:$E$73,2,0))</f>
        <v>#N/A</v>
      </c>
      <c r="F177" s="44" t="s">
        <v>34</v>
      </c>
      <c r="G177" s="44" t="s">
        <v>81</v>
      </c>
      <c r="H177" s="45">
        <v>1</v>
      </c>
      <c r="I177" s="46">
        <v>1.8</v>
      </c>
      <c r="J177" s="46">
        <v>0.6</v>
      </c>
      <c r="K177" s="47">
        <v>1</v>
      </c>
      <c r="L177" s="59">
        <f t="shared" si="8"/>
        <v>1.08</v>
      </c>
    </row>
    <row r="178" spans="2:12" x14ac:dyDescent="0.2">
      <c r="B178" s="43" t="s">
        <v>13</v>
      </c>
      <c r="C178" s="44" t="str">
        <f>IF(B178="","",VLOOKUP(B178,ORÇAMENTO!$B$7:C375,2,0))</f>
        <v>ESQUADRIAS</v>
      </c>
      <c r="D178" s="44" t="s">
        <v>109</v>
      </c>
      <c r="E178" s="44" t="e">
        <f>IF(D178="","",VLOOKUP(D178,ORÇAMENTO!$B$7:$E$73,2,0))</f>
        <v>#N/A</v>
      </c>
      <c r="F178" s="44" t="s">
        <v>34</v>
      </c>
      <c r="G178" s="44" t="s">
        <v>82</v>
      </c>
      <c r="H178" s="45">
        <v>2</v>
      </c>
      <c r="I178" s="46">
        <v>1.2</v>
      </c>
      <c r="J178" s="46">
        <v>0.6</v>
      </c>
      <c r="K178" s="47">
        <v>1</v>
      </c>
      <c r="L178" s="59">
        <f t="shared" si="8"/>
        <v>1.44</v>
      </c>
    </row>
    <row r="179" spans="2:12" x14ac:dyDescent="0.2">
      <c r="B179" s="43" t="s">
        <v>13</v>
      </c>
      <c r="C179" s="44" t="str">
        <f>IF(B179="","",VLOOKUP(B179,ORÇAMENTO!$B$7:C385,2,0))</f>
        <v>ESQUADRIAS</v>
      </c>
      <c r="D179" s="44" t="s">
        <v>109</v>
      </c>
      <c r="E179" s="44" t="e">
        <f>IF(D179="","",VLOOKUP(D179,ORÇAMENTO!$B$7:$E$73,2,0))</f>
        <v>#N/A</v>
      </c>
      <c r="F179" s="44" t="s">
        <v>15</v>
      </c>
      <c r="G179" s="44" t="s">
        <v>245</v>
      </c>
      <c r="H179" s="45">
        <v>1</v>
      </c>
      <c r="I179" s="46">
        <v>1</v>
      </c>
      <c r="J179" s="46">
        <v>1</v>
      </c>
      <c r="K179" s="47">
        <v>1</v>
      </c>
      <c r="L179" s="58">
        <f t="shared" si="8"/>
        <v>1</v>
      </c>
    </row>
    <row r="180" spans="2:12" x14ac:dyDescent="0.2">
      <c r="B180" s="43" t="s">
        <v>13</v>
      </c>
      <c r="C180" s="44" t="str">
        <f>IF(B180="","",VLOOKUP(B180,ORÇAMENTO!$B$7:C386,2,0))</f>
        <v>ESQUADRIAS</v>
      </c>
      <c r="D180" s="44" t="s">
        <v>109</v>
      </c>
      <c r="E180" s="44" t="e">
        <f>IF(D180="","",VLOOKUP(D180,ORÇAMENTO!$B$7:$E$73,2,0))</f>
        <v>#N/A</v>
      </c>
      <c r="F180" s="44" t="s">
        <v>15</v>
      </c>
      <c r="G180" s="44" t="s">
        <v>246</v>
      </c>
      <c r="H180" s="45">
        <v>1</v>
      </c>
      <c r="I180" s="46">
        <v>1</v>
      </c>
      <c r="J180" s="46">
        <v>1</v>
      </c>
      <c r="K180" s="47">
        <v>1</v>
      </c>
      <c r="L180" s="58">
        <f t="shared" si="8"/>
        <v>1</v>
      </c>
    </row>
    <row r="181" spans="2:12" x14ac:dyDescent="0.2">
      <c r="B181" s="43" t="s">
        <v>13</v>
      </c>
      <c r="C181" s="44" t="str">
        <f>IF(B181="","",VLOOKUP(B181,ORÇAMENTO!$B$7:C387,2,0))</f>
        <v>ESQUADRIAS</v>
      </c>
      <c r="D181" s="44" t="s">
        <v>109</v>
      </c>
      <c r="E181" s="44" t="e">
        <f>IF(D181="","",VLOOKUP(D181,ORÇAMENTO!$B$7:$E$73,2,0))</f>
        <v>#N/A</v>
      </c>
      <c r="F181" s="44" t="s">
        <v>15</v>
      </c>
      <c r="G181" s="44" t="s">
        <v>250</v>
      </c>
      <c r="H181" s="45">
        <v>1</v>
      </c>
      <c r="I181" s="46">
        <v>1</v>
      </c>
      <c r="J181" s="46">
        <v>1</v>
      </c>
      <c r="K181" s="47">
        <v>1</v>
      </c>
      <c r="L181" s="58">
        <f t="shared" si="8"/>
        <v>1</v>
      </c>
    </row>
    <row r="182" spans="2:12" x14ac:dyDescent="0.2">
      <c r="B182" s="43" t="s">
        <v>13</v>
      </c>
      <c r="C182" s="44" t="str">
        <f>IF(B182="","",VLOOKUP(B182,ORÇAMENTO!$B$7:C388,2,0))</f>
        <v>ESQUADRIAS</v>
      </c>
      <c r="D182" s="44" t="s">
        <v>109</v>
      </c>
      <c r="E182" s="44" t="e">
        <f>IF(D182="","",VLOOKUP(D182,ORÇAMENTO!$B$7:$E$73,2,0))</f>
        <v>#N/A</v>
      </c>
      <c r="F182" s="44" t="s">
        <v>15</v>
      </c>
      <c r="G182" s="44" t="s">
        <v>251</v>
      </c>
      <c r="H182" s="45">
        <v>1</v>
      </c>
      <c r="I182" s="46">
        <v>1</v>
      </c>
      <c r="J182" s="46">
        <v>1</v>
      </c>
      <c r="K182" s="47">
        <v>1</v>
      </c>
      <c r="L182" s="58">
        <f t="shared" si="8"/>
        <v>1</v>
      </c>
    </row>
    <row r="183" spans="2:12" x14ac:dyDescent="0.2">
      <c r="B183" s="43" t="s">
        <v>13</v>
      </c>
      <c r="C183" s="44" t="str">
        <f>IF(B183="","",VLOOKUP(B183,ORÇAMENTO!$B$7:C391,2,0))</f>
        <v>ESQUADRIAS</v>
      </c>
      <c r="D183" s="44" t="s">
        <v>109</v>
      </c>
      <c r="E183" s="44" t="e">
        <f>IF(D183="","",VLOOKUP(D183,ORÇAMENTO!$B$7:$E$73,2,0))</f>
        <v>#N/A</v>
      </c>
      <c r="F183" s="44" t="s">
        <v>30</v>
      </c>
      <c r="G183" s="44" t="s">
        <v>72</v>
      </c>
      <c r="H183" s="45">
        <v>1</v>
      </c>
      <c r="I183" s="46">
        <v>1</v>
      </c>
      <c r="J183" s="46">
        <v>1</v>
      </c>
      <c r="K183" s="47">
        <v>1</v>
      </c>
      <c r="L183" s="58">
        <f t="shared" si="8"/>
        <v>1</v>
      </c>
    </row>
    <row r="184" spans="2:12" x14ac:dyDescent="0.2">
      <c r="B184" s="43" t="s">
        <v>13</v>
      </c>
      <c r="C184" s="44" t="str">
        <f>IF(B184="","",VLOOKUP(B184,ORÇAMENTO!$B$7:C392,2,0))</f>
        <v>ESQUADRIAS</v>
      </c>
      <c r="D184" s="44" t="s">
        <v>109</v>
      </c>
      <c r="E184" s="44" t="e">
        <f>IF(D184="","",VLOOKUP(D184,ORÇAMENTO!$B$7:$E$73,2,0))</f>
        <v>#N/A</v>
      </c>
      <c r="F184" s="44" t="s">
        <v>30</v>
      </c>
      <c r="G184" s="44" t="s">
        <v>73</v>
      </c>
      <c r="H184" s="45">
        <v>1</v>
      </c>
      <c r="I184" s="46">
        <v>1</v>
      </c>
      <c r="J184" s="46">
        <v>1</v>
      </c>
      <c r="K184" s="47">
        <v>1</v>
      </c>
      <c r="L184" s="58">
        <f t="shared" si="8"/>
        <v>1</v>
      </c>
    </row>
    <row r="185" spans="2:12" x14ac:dyDescent="0.2">
      <c r="B185" s="34" t="s">
        <v>14</v>
      </c>
      <c r="C185" s="35" t="str">
        <f>IF(B185="","",VLOOKUP(B185,ORÇAMENTO!$B$7:C332,2,0))</f>
        <v>IMPERMEABILIZAÇÃO</v>
      </c>
      <c r="D185" s="35" t="s">
        <v>110</v>
      </c>
      <c r="E185" s="35" t="str">
        <f>IF(D185="","",VLOOKUP(D185,ORÇAMENTO!$B$7:$E$73,2,0))</f>
        <v>Manta Asfáltica</v>
      </c>
      <c r="F185" s="35" t="s">
        <v>258</v>
      </c>
      <c r="G185" s="60" t="s">
        <v>259</v>
      </c>
      <c r="H185" s="56">
        <v>1</v>
      </c>
      <c r="I185" s="38">
        <v>1</v>
      </c>
      <c r="J185" s="38">
        <v>1</v>
      </c>
      <c r="K185" s="39">
        <v>311.88</v>
      </c>
      <c r="L185" s="40">
        <f t="shared" si="8"/>
        <v>311.88</v>
      </c>
    </row>
    <row r="186" spans="2:12" x14ac:dyDescent="0.2">
      <c r="B186" s="34" t="s">
        <v>14</v>
      </c>
      <c r="C186" s="35" t="str">
        <f>IF(B186="","",VLOOKUP(B186,ORÇAMENTO!$B$7:C333,2,0))</f>
        <v>IMPERMEABILIZAÇÃO</v>
      </c>
      <c r="D186" s="35" t="s">
        <v>110</v>
      </c>
      <c r="E186" s="35" t="str">
        <f>IF(D186="","",VLOOKUP(D186,ORÇAMENTO!$B$7:$E$73,2,0))</f>
        <v>Manta Asfáltica</v>
      </c>
      <c r="F186" s="35" t="s">
        <v>31</v>
      </c>
      <c r="G186" s="60"/>
      <c r="H186" s="56">
        <v>1</v>
      </c>
      <c r="I186" s="38">
        <v>1</v>
      </c>
      <c r="J186" s="38">
        <v>1</v>
      </c>
      <c r="K186" s="39">
        <v>219.38</v>
      </c>
      <c r="L186" s="40">
        <f t="shared" si="8"/>
        <v>219.38</v>
      </c>
    </row>
    <row r="187" spans="2:12" x14ac:dyDescent="0.2">
      <c r="B187" s="34" t="s">
        <v>14</v>
      </c>
      <c r="C187" s="35" t="str">
        <f>IF(B187="","",VLOOKUP(B187,ORÇAMENTO!$B$7:C338,2,0))</f>
        <v>IMPERMEABILIZAÇÃO</v>
      </c>
      <c r="D187" s="35" t="s">
        <v>110</v>
      </c>
      <c r="E187" s="35" t="str">
        <f>IF(D187="","",VLOOKUP(D187,ORÇAMENTO!$B$7:$E$73,2,0))</f>
        <v>Manta Asfáltica</v>
      </c>
      <c r="F187" s="35" t="s">
        <v>15</v>
      </c>
      <c r="G187" s="60"/>
      <c r="H187" s="56">
        <v>1</v>
      </c>
      <c r="I187" s="38">
        <v>1</v>
      </c>
      <c r="J187" s="38">
        <v>1</v>
      </c>
      <c r="K187" s="39">
        <v>172.33</v>
      </c>
      <c r="L187" s="40">
        <f t="shared" si="8"/>
        <v>172.33</v>
      </c>
    </row>
    <row r="188" spans="2:12" x14ac:dyDescent="0.2">
      <c r="B188" s="34" t="s">
        <v>14</v>
      </c>
      <c r="C188" s="35" t="str">
        <f>IF(B188="","",VLOOKUP(B188,ORÇAMENTO!$B$7:C339,2,0))</f>
        <v>IMPERMEABILIZAÇÃO</v>
      </c>
      <c r="D188" s="35" t="s">
        <v>110</v>
      </c>
      <c r="E188" s="35" t="str">
        <f>IF(D188="","",VLOOKUP(D188,ORÇAMENTO!$B$7:$E$73,2,0))</f>
        <v>Manta Asfáltica</v>
      </c>
      <c r="F188" s="35" t="s">
        <v>30</v>
      </c>
      <c r="G188" s="60"/>
      <c r="H188" s="56">
        <v>1</v>
      </c>
      <c r="I188" s="38">
        <v>1</v>
      </c>
      <c r="J188" s="38">
        <v>1</v>
      </c>
      <c r="K188" s="39">
        <v>42.74</v>
      </c>
      <c r="L188" s="40">
        <f>H188*I188*J188*K188</f>
        <v>42.74</v>
      </c>
    </row>
    <row r="189" spans="2:12" x14ac:dyDescent="0.2">
      <c r="B189" s="34" t="s">
        <v>14</v>
      </c>
      <c r="C189" s="35" t="str">
        <f>IF(B189="","",VLOOKUP(B189,ORÇAMENTO!$B$7:C334,2,0))</f>
        <v>IMPERMEABILIZAÇÃO</v>
      </c>
      <c r="D189" s="35" t="s">
        <v>111</v>
      </c>
      <c r="E189" s="35" t="e">
        <f>IF(D189="","",VLOOKUP(D189,ORÇAMENTO!$B$7:$E$73,2,0))</f>
        <v>#N/A</v>
      </c>
      <c r="F189" s="35" t="s">
        <v>31</v>
      </c>
      <c r="G189" s="60"/>
      <c r="H189" s="56">
        <v>1</v>
      </c>
      <c r="I189" s="38">
        <v>1</v>
      </c>
      <c r="J189" s="38">
        <v>1</v>
      </c>
      <c r="K189" s="39">
        <v>4.1399999999999997</v>
      </c>
      <c r="L189" s="40">
        <f>H189*I189*J189*K189</f>
        <v>4.1399999999999997</v>
      </c>
    </row>
    <row r="190" spans="2:12" x14ac:dyDescent="0.2">
      <c r="B190" s="34" t="s">
        <v>14</v>
      </c>
      <c r="C190" s="35" t="str">
        <f>IF(B190="","",VLOOKUP(B190,ORÇAMENTO!$B$7:C335,2,0))</f>
        <v>IMPERMEABILIZAÇÃO</v>
      </c>
      <c r="D190" s="35" t="s">
        <v>111</v>
      </c>
      <c r="E190" s="35" t="e">
        <f>IF(D190="","",VLOOKUP(D190,ORÇAMENTO!$B$7:$E$73,2,0))</f>
        <v>#N/A</v>
      </c>
      <c r="F190" s="35" t="s">
        <v>29</v>
      </c>
      <c r="G190" s="60"/>
      <c r="H190" s="56">
        <v>5</v>
      </c>
      <c r="I190" s="38">
        <v>1</v>
      </c>
      <c r="J190" s="38">
        <v>1</v>
      </c>
      <c r="K190" s="39">
        <v>72.569999999999993</v>
      </c>
      <c r="L190" s="40">
        <f>H190*I190*J190*K190</f>
        <v>362.84999999999997</v>
      </c>
    </row>
    <row r="191" spans="2:12" x14ac:dyDescent="0.2">
      <c r="B191" s="34" t="s">
        <v>14</v>
      </c>
      <c r="C191" s="35" t="str">
        <f>IF(B191="","",VLOOKUP(B191,ORÇAMENTO!$B$7:C336,2,0))</f>
        <v>IMPERMEABILIZAÇÃO</v>
      </c>
      <c r="D191" s="35" t="s">
        <v>111</v>
      </c>
      <c r="E191" s="35" t="e">
        <f>IF(D191="","",VLOOKUP(D191,ORÇAMENTO!$B$7:$E$73,2,0))</f>
        <v>#N/A</v>
      </c>
      <c r="F191" s="35" t="s">
        <v>34</v>
      </c>
      <c r="G191" s="60"/>
      <c r="H191" s="56">
        <v>1</v>
      </c>
      <c r="I191" s="38">
        <v>1</v>
      </c>
      <c r="J191" s="38">
        <v>1</v>
      </c>
      <c r="K191" s="39">
        <v>71.97</v>
      </c>
      <c r="L191" s="40">
        <f>H191*I191*J191*K191</f>
        <v>71.97</v>
      </c>
    </row>
    <row r="192" spans="2:12" x14ac:dyDescent="0.2">
      <c r="B192" s="43" t="s">
        <v>16</v>
      </c>
      <c r="C192" s="44" t="str">
        <f>IF(B192="","",VLOOKUP(B192,ORÇAMENTO!$B$7:C127,2,0))</f>
        <v>FORRO E SANCA EM GESSO</v>
      </c>
      <c r="D192" s="44" t="s">
        <v>112</v>
      </c>
      <c r="E192" s="44" t="str">
        <f>IF(D192="","",VLOOKUP(D192,ORÇAMENTO!$B$7:$E$73,2,0))</f>
        <v>Forro de Gesso</v>
      </c>
      <c r="F192" s="44" t="s">
        <v>232</v>
      </c>
      <c r="G192" s="61"/>
      <c r="H192" s="45">
        <v>2</v>
      </c>
      <c r="I192" s="46"/>
      <c r="J192" s="46">
        <v>30.36</v>
      </c>
      <c r="K192" s="47">
        <v>2.8</v>
      </c>
      <c r="L192" s="51">
        <f>K192*J192*H192</f>
        <v>170.01599999999999</v>
      </c>
    </row>
    <row r="193" spans="2:12" x14ac:dyDescent="0.2">
      <c r="B193" s="43" t="s">
        <v>16</v>
      </c>
      <c r="C193" s="44" t="str">
        <f>IF(B193="","",VLOOKUP(B193,ORÇAMENTO!$B$7:C128,2,0))</f>
        <v>FORRO E SANCA EM GESSO</v>
      </c>
      <c r="D193" s="44" t="s">
        <v>112</v>
      </c>
      <c r="E193" s="44" t="str">
        <f>IF(D193="","",VLOOKUP(D193,ORÇAMENTO!$B$7:$E$73,2,0))</f>
        <v>Forro de Gesso</v>
      </c>
      <c r="F193" s="44" t="s">
        <v>232</v>
      </c>
      <c r="G193" s="61"/>
      <c r="H193" s="45">
        <v>2</v>
      </c>
      <c r="I193" s="46"/>
      <c r="J193" s="46">
        <v>12.93</v>
      </c>
      <c r="K193" s="47">
        <v>1</v>
      </c>
      <c r="L193" s="51">
        <f>K193*J193*H193</f>
        <v>25.86</v>
      </c>
    </row>
    <row r="194" spans="2:12" x14ac:dyDescent="0.2">
      <c r="B194" s="43" t="s">
        <v>16</v>
      </c>
      <c r="C194" s="44" t="str">
        <f>IF(B194="","",VLOOKUP(B194,ORÇAMENTO!$B$7:C129,2,0))</f>
        <v>FORRO E SANCA EM GESSO</v>
      </c>
      <c r="D194" s="44" t="s">
        <v>112</v>
      </c>
      <c r="E194" s="44" t="str">
        <f>IF(D194="","",VLOOKUP(D194,ORÇAMENTO!$B$7:$E$73,2,0))</f>
        <v>Forro de Gesso</v>
      </c>
      <c r="F194" s="44" t="s">
        <v>232</v>
      </c>
      <c r="G194" s="61"/>
      <c r="H194" s="45">
        <v>2</v>
      </c>
      <c r="I194" s="46"/>
      <c r="J194" s="46">
        <v>1.75</v>
      </c>
      <c r="K194" s="47">
        <v>0.1</v>
      </c>
      <c r="L194" s="51">
        <f>K194*J194*H194</f>
        <v>0.35000000000000003</v>
      </c>
    </row>
    <row r="195" spans="2:12" x14ac:dyDescent="0.2">
      <c r="B195" s="43" t="s">
        <v>16</v>
      </c>
      <c r="C195" s="44" t="str">
        <f>IF(B195="","",VLOOKUP(B195,ORÇAMENTO!$B$7:C124,2,0))</f>
        <v>FORRO E SANCA EM GESSO</v>
      </c>
      <c r="D195" s="44" t="s">
        <v>112</v>
      </c>
      <c r="E195" s="44" t="str">
        <f>IF(D195="","",VLOOKUP(D195,ORÇAMENTO!$B$7:$E$73,2,0))</f>
        <v>Forro de Gesso</v>
      </c>
      <c r="F195" s="44" t="s">
        <v>31</v>
      </c>
      <c r="G195" s="61"/>
      <c r="H195" s="45">
        <v>2</v>
      </c>
      <c r="I195" s="46">
        <v>50.17</v>
      </c>
      <c r="J195" s="46">
        <v>1</v>
      </c>
      <c r="K195" s="47">
        <v>2.8</v>
      </c>
      <c r="L195" s="51">
        <f t="shared" ref="L195:L212" si="9">H195*I195*J195*K195</f>
        <v>280.952</v>
      </c>
    </row>
    <row r="196" spans="2:12" x14ac:dyDescent="0.2">
      <c r="B196" s="43" t="s">
        <v>16</v>
      </c>
      <c r="C196" s="44" t="str">
        <f>IF(B196="","",VLOOKUP(B196,ORÇAMENTO!$B$7:C125,2,0))</f>
        <v>FORRO E SANCA EM GESSO</v>
      </c>
      <c r="D196" s="44" t="s">
        <v>112</v>
      </c>
      <c r="E196" s="44" t="str">
        <f>IF(D196="","",VLOOKUP(D196,ORÇAMENTO!$B$7:$E$73,2,0))</f>
        <v>Forro de Gesso</v>
      </c>
      <c r="F196" s="44" t="s">
        <v>31</v>
      </c>
      <c r="G196" s="61"/>
      <c r="H196" s="45">
        <v>2</v>
      </c>
      <c r="I196" s="46">
        <v>7.39</v>
      </c>
      <c r="J196" s="46">
        <v>1</v>
      </c>
      <c r="K196" s="47">
        <v>1</v>
      </c>
      <c r="L196" s="51">
        <f t="shared" si="9"/>
        <v>14.78</v>
      </c>
    </row>
    <row r="197" spans="2:12" x14ac:dyDescent="0.2">
      <c r="B197" s="43" t="s">
        <v>16</v>
      </c>
      <c r="C197" s="44" t="str">
        <f>IF(B197="","",VLOOKUP(B197,ORÇAMENTO!$B$7:C129,2,0))</f>
        <v>FORRO E SANCA EM GESSO</v>
      </c>
      <c r="D197" s="44" t="s">
        <v>112</v>
      </c>
      <c r="E197" s="44" t="str">
        <f>IF(D197="","",VLOOKUP(D197,ORÇAMENTO!$B$7:$E$73,2,0))</f>
        <v>Forro de Gesso</v>
      </c>
      <c r="F197" s="44" t="s">
        <v>28</v>
      </c>
      <c r="G197" s="61"/>
      <c r="H197" s="45">
        <v>1</v>
      </c>
      <c r="I197" s="46">
        <v>190.48</v>
      </c>
      <c r="J197" s="46">
        <v>1</v>
      </c>
      <c r="K197" s="47">
        <v>2.8</v>
      </c>
      <c r="L197" s="51">
        <f t="shared" si="9"/>
        <v>533.34399999999994</v>
      </c>
    </row>
    <row r="198" spans="2:12" x14ac:dyDescent="0.2">
      <c r="B198" s="43" t="s">
        <v>16</v>
      </c>
      <c r="C198" s="44" t="str">
        <f>IF(B198="","",VLOOKUP(B198,ORÇAMENTO!$B$7:C131,2,0))</f>
        <v>FORRO E SANCA EM GESSO</v>
      </c>
      <c r="D198" s="44" t="s">
        <v>112</v>
      </c>
      <c r="E198" s="44" t="str">
        <f>IF(D198="","",VLOOKUP(D198,ORÇAMENTO!$B$7:$E$73,2,0))</f>
        <v>Forro de Gesso</v>
      </c>
      <c r="F198" s="44" t="s">
        <v>28</v>
      </c>
      <c r="G198" s="61"/>
      <c r="H198" s="45">
        <v>1</v>
      </c>
      <c r="I198" s="46">
        <v>36.85</v>
      </c>
      <c r="J198" s="46">
        <v>1</v>
      </c>
      <c r="K198" s="47">
        <v>1.8</v>
      </c>
      <c r="L198" s="51">
        <f t="shared" si="9"/>
        <v>66.33</v>
      </c>
    </row>
    <row r="199" spans="2:12" x14ac:dyDescent="0.2">
      <c r="B199" s="43" t="s">
        <v>16</v>
      </c>
      <c r="C199" s="44" t="str">
        <f>IF(B199="","",VLOOKUP(B199,ORÇAMENTO!$B$7:C132,2,0))</f>
        <v>FORRO E SANCA EM GESSO</v>
      </c>
      <c r="D199" s="44" t="s">
        <v>112</v>
      </c>
      <c r="E199" s="44" t="str">
        <f>IF(D199="","",VLOOKUP(D199,ORÇAMENTO!$B$7:$E$73,2,0))</f>
        <v>Forro de Gesso</v>
      </c>
      <c r="F199" s="44" t="s">
        <v>28</v>
      </c>
      <c r="G199" s="61"/>
      <c r="H199" s="45">
        <v>1</v>
      </c>
      <c r="I199" s="46">
        <v>9.8699999999999992</v>
      </c>
      <c r="J199" s="46">
        <v>1</v>
      </c>
      <c r="K199" s="47">
        <v>1</v>
      </c>
      <c r="L199" s="51">
        <f t="shared" si="9"/>
        <v>9.8699999999999992</v>
      </c>
    </row>
    <row r="200" spans="2:12" x14ac:dyDescent="0.2">
      <c r="B200" s="43" t="s">
        <v>16</v>
      </c>
      <c r="C200" s="44" t="str">
        <f>IF(B200="","",VLOOKUP(B200,ORÇAMENTO!$B$7:C133,2,0))</f>
        <v>FORRO E SANCA EM GESSO</v>
      </c>
      <c r="D200" s="44" t="s">
        <v>112</v>
      </c>
      <c r="E200" s="44" t="str">
        <f>IF(D200="","",VLOOKUP(D200,ORÇAMENTO!$B$7:$E$73,2,0))</f>
        <v>Forro de Gesso</v>
      </c>
      <c r="F200" s="44" t="s">
        <v>29</v>
      </c>
      <c r="G200" s="61"/>
      <c r="H200" s="45">
        <v>5</v>
      </c>
      <c r="I200" s="46">
        <v>213.72</v>
      </c>
      <c r="J200" s="46">
        <v>1</v>
      </c>
      <c r="K200" s="47">
        <v>2.6</v>
      </c>
      <c r="L200" s="51">
        <f t="shared" si="9"/>
        <v>2778.3599999999997</v>
      </c>
    </row>
    <row r="201" spans="2:12" x14ac:dyDescent="0.2">
      <c r="B201" s="43" t="s">
        <v>16</v>
      </c>
      <c r="C201" s="44" t="str">
        <f>IF(B201="","",VLOOKUP(B201,ORÇAMENTO!$B$7:C134,2,0))</f>
        <v>FORRO E SANCA EM GESSO</v>
      </c>
      <c r="D201" s="44" t="s">
        <v>112</v>
      </c>
      <c r="E201" s="44" t="str">
        <f>IF(D201="","",VLOOKUP(D201,ORÇAMENTO!$B$7:$E$73,2,0))</f>
        <v>Forro de Gesso</v>
      </c>
      <c r="F201" s="44" t="s">
        <v>29</v>
      </c>
      <c r="G201" s="61"/>
      <c r="H201" s="45">
        <v>5</v>
      </c>
      <c r="I201" s="46">
        <v>22.85</v>
      </c>
      <c r="J201" s="46">
        <v>1</v>
      </c>
      <c r="K201" s="47">
        <v>1</v>
      </c>
      <c r="L201" s="51">
        <f t="shared" si="9"/>
        <v>114.25</v>
      </c>
    </row>
    <row r="202" spans="2:12" x14ac:dyDescent="0.2">
      <c r="B202" s="43" t="s">
        <v>16</v>
      </c>
      <c r="C202" s="44" t="str">
        <f>IF(B202="","",VLOOKUP(B202,ORÇAMENTO!$B$7:C136,2,0))</f>
        <v>FORRO E SANCA EM GESSO</v>
      </c>
      <c r="D202" s="44" t="s">
        <v>112</v>
      </c>
      <c r="E202" s="44" t="str">
        <f>IF(D202="","",VLOOKUP(D202,ORÇAMENTO!$B$7:$E$73,2,0))</f>
        <v>Forro de Gesso</v>
      </c>
      <c r="F202" s="44" t="s">
        <v>34</v>
      </c>
      <c r="G202" s="61"/>
      <c r="H202" s="45">
        <v>1</v>
      </c>
      <c r="I202" s="46">
        <v>219.36</v>
      </c>
      <c r="J202" s="46">
        <v>1</v>
      </c>
      <c r="K202" s="47">
        <v>2.6</v>
      </c>
      <c r="L202" s="51">
        <f t="shared" si="9"/>
        <v>570.33600000000001</v>
      </c>
    </row>
    <row r="203" spans="2:12" x14ac:dyDescent="0.2">
      <c r="B203" s="43" t="s">
        <v>16</v>
      </c>
      <c r="C203" s="44" t="str">
        <f>IF(B203="","",VLOOKUP(B203,ORÇAMENTO!$B$7:C137,2,0))</f>
        <v>FORRO E SANCA EM GESSO</v>
      </c>
      <c r="D203" s="44" t="s">
        <v>112</v>
      </c>
      <c r="E203" s="44" t="str">
        <f>IF(D203="","",VLOOKUP(D203,ORÇAMENTO!$B$7:$E$73,2,0))</f>
        <v>Forro de Gesso</v>
      </c>
      <c r="F203" s="44" t="s">
        <v>34</v>
      </c>
      <c r="G203" s="61"/>
      <c r="H203" s="45">
        <v>1</v>
      </c>
      <c r="I203" s="46">
        <v>22.85</v>
      </c>
      <c r="J203" s="46">
        <v>1</v>
      </c>
      <c r="K203" s="47">
        <v>1</v>
      </c>
      <c r="L203" s="51">
        <f t="shared" si="9"/>
        <v>22.85</v>
      </c>
    </row>
    <row r="204" spans="2:12" x14ac:dyDescent="0.2">
      <c r="B204" s="43" t="s">
        <v>16</v>
      </c>
      <c r="C204" s="44" t="str">
        <f>IF(B204="","",VLOOKUP(B204,ORÇAMENTO!$B$7:C139,2,0))</f>
        <v>FORRO E SANCA EM GESSO</v>
      </c>
      <c r="D204" s="44" t="s">
        <v>112</v>
      </c>
      <c r="E204" s="44" t="str">
        <f>IF(D204="","",VLOOKUP(D204,ORÇAMENTO!$B$7:$E$73,2,0))</f>
        <v>Forro de Gesso</v>
      </c>
      <c r="F204" s="44" t="s">
        <v>15</v>
      </c>
      <c r="G204" s="61"/>
      <c r="H204" s="45">
        <v>1</v>
      </c>
      <c r="I204" s="46">
        <v>2.38</v>
      </c>
      <c r="J204" s="46">
        <v>1</v>
      </c>
      <c r="K204" s="47">
        <v>2.8</v>
      </c>
      <c r="L204" s="51">
        <f t="shared" si="9"/>
        <v>6.6639999999999997</v>
      </c>
    </row>
    <row r="205" spans="2:12" x14ac:dyDescent="0.2">
      <c r="B205" s="43" t="s">
        <v>16</v>
      </c>
      <c r="C205" s="44" t="str">
        <f>IF(B205="","",VLOOKUP(B205,ORÇAMENTO!$B$7:C140,2,0))</f>
        <v>FORRO E SANCA EM GESSO</v>
      </c>
      <c r="D205" s="44" t="s">
        <v>112</v>
      </c>
      <c r="E205" s="44" t="str">
        <f>IF(D205="","",VLOOKUP(D205,ORÇAMENTO!$B$7:$E$73,2,0))</f>
        <v>Forro de Gesso</v>
      </c>
      <c r="F205" s="44" t="s">
        <v>15</v>
      </c>
      <c r="G205" s="61"/>
      <c r="H205" s="45">
        <v>1</v>
      </c>
      <c r="I205" s="46">
        <v>2.08</v>
      </c>
      <c r="J205" s="46">
        <v>1</v>
      </c>
      <c r="K205" s="47">
        <v>2.2999999999999998</v>
      </c>
      <c r="L205" s="51">
        <f t="shared" si="9"/>
        <v>4.7839999999999998</v>
      </c>
    </row>
    <row r="206" spans="2:12" x14ac:dyDescent="0.2">
      <c r="B206" s="43" t="s">
        <v>16</v>
      </c>
      <c r="C206" s="44" t="str">
        <f>IF(B206="","",VLOOKUP(B206,ORÇAMENTO!$B$7:C141,2,0))</f>
        <v>FORRO E SANCA EM GESSO</v>
      </c>
      <c r="D206" s="44" t="s">
        <v>112</v>
      </c>
      <c r="E206" s="44" t="str">
        <f>IF(D206="","",VLOOKUP(D206,ORÇAMENTO!$B$7:$E$73,2,0))</f>
        <v>Forro de Gesso</v>
      </c>
      <c r="F206" s="44" t="s">
        <v>15</v>
      </c>
      <c r="G206" s="61"/>
      <c r="H206" s="45">
        <v>1</v>
      </c>
      <c r="I206" s="46">
        <v>18.36</v>
      </c>
      <c r="J206" s="46">
        <v>1</v>
      </c>
      <c r="K206" s="47">
        <v>2.15</v>
      </c>
      <c r="L206" s="51">
        <f t="shared" si="9"/>
        <v>39.473999999999997</v>
      </c>
    </row>
    <row r="207" spans="2:12" x14ac:dyDescent="0.2">
      <c r="B207" s="43" t="s">
        <v>16</v>
      </c>
      <c r="C207" s="44" t="str">
        <f>IF(B207="","",VLOOKUP(B207,ORÇAMENTO!$B$7:C142,2,0))</f>
        <v>FORRO E SANCA EM GESSO</v>
      </c>
      <c r="D207" s="44" t="s">
        <v>112</v>
      </c>
      <c r="E207" s="44" t="str">
        <f>IF(D207="","",VLOOKUP(D207,ORÇAMENTO!$B$7:$E$73,2,0))</f>
        <v>Forro de Gesso</v>
      </c>
      <c r="F207" s="44" t="s">
        <v>15</v>
      </c>
      <c r="G207" s="61"/>
      <c r="H207" s="45">
        <v>1</v>
      </c>
      <c r="I207" s="46">
        <v>11</v>
      </c>
      <c r="J207" s="46">
        <v>1</v>
      </c>
      <c r="K207" s="47">
        <v>1.8</v>
      </c>
      <c r="L207" s="51">
        <f t="shared" si="9"/>
        <v>19.8</v>
      </c>
    </row>
    <row r="208" spans="2:12" x14ac:dyDescent="0.2">
      <c r="B208" s="43" t="s">
        <v>16</v>
      </c>
      <c r="C208" s="44" t="str">
        <f>IF(B208="","",VLOOKUP(B208,ORÇAMENTO!$B$7:C143,2,0))</f>
        <v>FORRO E SANCA EM GESSO</v>
      </c>
      <c r="D208" s="44" t="s">
        <v>112</v>
      </c>
      <c r="E208" s="44" t="str">
        <f>IF(D208="","",VLOOKUP(D208,ORÇAMENTO!$B$7:$E$73,2,0))</f>
        <v>Forro de Gesso</v>
      </c>
      <c r="F208" s="44" t="s">
        <v>15</v>
      </c>
      <c r="G208" s="61"/>
      <c r="H208" s="45">
        <v>1</v>
      </c>
      <c r="I208" s="46">
        <v>33</v>
      </c>
      <c r="J208" s="46">
        <v>1</v>
      </c>
      <c r="K208" s="47">
        <v>1.2</v>
      </c>
      <c r="L208" s="51">
        <f t="shared" si="9"/>
        <v>39.6</v>
      </c>
    </row>
    <row r="209" spans="2:12" x14ac:dyDescent="0.2">
      <c r="B209" s="43" t="s">
        <v>16</v>
      </c>
      <c r="C209" s="44" t="str">
        <f>IF(B209="","",VLOOKUP(B209,ORÇAMENTO!$B$7:C144,2,0))</f>
        <v>FORRO E SANCA EM GESSO</v>
      </c>
      <c r="D209" s="44" t="s">
        <v>112</v>
      </c>
      <c r="E209" s="44" t="str">
        <f>IF(D209="","",VLOOKUP(D209,ORÇAMENTO!$B$7:$E$73,2,0))</f>
        <v>Forro de Gesso</v>
      </c>
      <c r="F209" s="44" t="s">
        <v>30</v>
      </c>
      <c r="G209" s="61"/>
      <c r="H209" s="45">
        <v>2</v>
      </c>
      <c r="I209" s="46">
        <v>6.9</v>
      </c>
      <c r="J209" s="46">
        <v>1</v>
      </c>
      <c r="K209" s="47">
        <v>1</v>
      </c>
      <c r="L209" s="51">
        <f t="shared" si="9"/>
        <v>13.8</v>
      </c>
    </row>
    <row r="210" spans="2:12" x14ac:dyDescent="0.2">
      <c r="B210" s="43" t="s">
        <v>16</v>
      </c>
      <c r="C210" s="44" t="str">
        <f>IF(B210="","",VLOOKUP(B210,ORÇAMENTO!$B$7:C145,2,0))</f>
        <v>FORRO E SANCA EM GESSO</v>
      </c>
      <c r="D210" s="44" t="s">
        <v>112</v>
      </c>
      <c r="E210" s="44" t="str">
        <f>IF(D210="","",VLOOKUP(D210,ORÇAMENTO!$B$7:$E$73,2,0))</f>
        <v>Forro de Gesso</v>
      </c>
      <c r="F210" s="44" t="s">
        <v>30</v>
      </c>
      <c r="G210" s="61"/>
      <c r="H210" s="45">
        <v>4</v>
      </c>
      <c r="I210" s="46">
        <v>16.45</v>
      </c>
      <c r="J210" s="46">
        <v>1</v>
      </c>
      <c r="K210" s="47">
        <v>0.5</v>
      </c>
      <c r="L210" s="51">
        <f t="shared" si="9"/>
        <v>32.9</v>
      </c>
    </row>
    <row r="211" spans="2:12" x14ac:dyDescent="0.2">
      <c r="B211" s="43" t="s">
        <v>16</v>
      </c>
      <c r="C211" s="44" t="str">
        <f>IF(B211="","",VLOOKUP(B211,ORÇAMENTO!$B$7:C161,2,0))</f>
        <v>FORRO E SANCA EM GESSO</v>
      </c>
      <c r="D211" s="44" t="s">
        <v>112</v>
      </c>
      <c r="E211" s="44" t="str">
        <f>IF(D211="","",VLOOKUP(D211,ORÇAMENTO!$B$7:$E$73,2,0))</f>
        <v>Forro de Gesso</v>
      </c>
      <c r="F211" s="44" t="s">
        <v>15</v>
      </c>
      <c r="G211" s="61"/>
      <c r="H211" s="45">
        <v>1</v>
      </c>
      <c r="I211" s="46">
        <v>1.65</v>
      </c>
      <c r="J211" s="46">
        <v>1</v>
      </c>
      <c r="K211" s="47">
        <v>1</v>
      </c>
      <c r="L211" s="51">
        <f t="shared" si="9"/>
        <v>1.65</v>
      </c>
    </row>
    <row r="212" spans="2:12" x14ac:dyDescent="0.2">
      <c r="B212" s="43" t="s">
        <v>16</v>
      </c>
      <c r="C212" s="44" t="str">
        <f>IF(B212="","",VLOOKUP(B212,ORÇAMENTO!$B$7:C162,2,0))</f>
        <v>FORRO E SANCA EM GESSO</v>
      </c>
      <c r="D212" s="44" t="s">
        <v>112</v>
      </c>
      <c r="E212" s="44" t="str">
        <f>IF(D212="","",VLOOKUP(D212,ORÇAMENTO!$B$7:$E$73,2,0))</f>
        <v>Forro de Gesso</v>
      </c>
      <c r="F212" s="44" t="s">
        <v>15</v>
      </c>
      <c r="G212" s="61"/>
      <c r="H212" s="45">
        <v>1</v>
      </c>
      <c r="I212" s="46">
        <v>0.68</v>
      </c>
      <c r="J212" s="46">
        <v>1</v>
      </c>
      <c r="K212" s="47">
        <v>0.5</v>
      </c>
      <c r="L212" s="51">
        <f t="shared" si="9"/>
        <v>0.34</v>
      </c>
    </row>
    <row r="213" spans="2:12" x14ac:dyDescent="0.2">
      <c r="B213" s="43" t="s">
        <v>16</v>
      </c>
      <c r="C213" s="44" t="str">
        <f>IF(B213="","",VLOOKUP(B213,ORÇAMENTO!$B$7:C137,2,0))</f>
        <v>FORRO E SANCA EM GESSO</v>
      </c>
      <c r="D213" s="44" t="s">
        <v>113</v>
      </c>
      <c r="E213" s="44" t="e">
        <f>IF(D213="","",VLOOKUP(D213,ORÇAMENTO!$B$7:$E$73,2,0))</f>
        <v>#N/A</v>
      </c>
      <c r="F213" s="44" t="s">
        <v>232</v>
      </c>
      <c r="G213" s="61"/>
      <c r="H213" s="45">
        <v>2</v>
      </c>
      <c r="I213" s="46"/>
      <c r="J213" s="46">
        <v>30.36</v>
      </c>
      <c r="K213" s="47">
        <v>2.8</v>
      </c>
      <c r="L213" s="51">
        <f>K213*J213*H213</f>
        <v>170.01599999999999</v>
      </c>
    </row>
    <row r="214" spans="2:12" x14ac:dyDescent="0.2">
      <c r="B214" s="43" t="s">
        <v>16</v>
      </c>
      <c r="C214" s="44" t="str">
        <f>IF(B214="","",VLOOKUP(B214,ORÇAMENTO!$B$7:C138,2,0))</f>
        <v>FORRO E SANCA EM GESSO</v>
      </c>
      <c r="D214" s="44" t="s">
        <v>113</v>
      </c>
      <c r="E214" s="44" t="e">
        <f>IF(D214="","",VLOOKUP(D214,ORÇAMENTO!$B$7:$E$73,2,0))</f>
        <v>#N/A</v>
      </c>
      <c r="F214" s="44" t="s">
        <v>232</v>
      </c>
      <c r="G214" s="61"/>
      <c r="H214" s="45">
        <v>2</v>
      </c>
      <c r="I214" s="46"/>
      <c r="J214" s="46">
        <v>12.93</v>
      </c>
      <c r="K214" s="47">
        <v>1</v>
      </c>
      <c r="L214" s="51">
        <f>K214*J214*H214</f>
        <v>25.86</v>
      </c>
    </row>
    <row r="215" spans="2:12" x14ac:dyDescent="0.2">
      <c r="B215" s="43" t="s">
        <v>16</v>
      </c>
      <c r="C215" s="44" t="str">
        <f>IF(B215="","",VLOOKUP(B215,ORÇAMENTO!$B$7:C139,2,0))</f>
        <v>FORRO E SANCA EM GESSO</v>
      </c>
      <c r="D215" s="44" t="s">
        <v>113</v>
      </c>
      <c r="E215" s="44" t="e">
        <f>IF(D215="","",VLOOKUP(D215,ORÇAMENTO!$B$7:$E$73,2,0))</f>
        <v>#N/A</v>
      </c>
      <c r="F215" s="44" t="s">
        <v>232</v>
      </c>
      <c r="G215" s="61"/>
      <c r="H215" s="45">
        <v>2</v>
      </c>
      <c r="I215" s="46"/>
      <c r="J215" s="46">
        <v>1.75</v>
      </c>
      <c r="K215" s="47">
        <v>0.1</v>
      </c>
      <c r="L215" s="51">
        <f>K215*J215*H215</f>
        <v>0.35000000000000003</v>
      </c>
    </row>
    <row r="216" spans="2:12" x14ac:dyDescent="0.2">
      <c r="B216" s="43" t="s">
        <v>16</v>
      </c>
      <c r="C216" s="44" t="str">
        <f>IF(B216="","",VLOOKUP(B216,ORÇAMENTO!$B$7:C146,2,0))</f>
        <v>FORRO E SANCA EM GESSO</v>
      </c>
      <c r="D216" s="44" t="s">
        <v>113</v>
      </c>
      <c r="E216" s="44" t="e">
        <f>IF(D216="","",VLOOKUP(D216,ORÇAMENTO!$B$7:$E$73,2,0))</f>
        <v>#N/A</v>
      </c>
      <c r="F216" s="44" t="s">
        <v>31</v>
      </c>
      <c r="G216" s="61"/>
      <c r="H216" s="45">
        <v>2</v>
      </c>
      <c r="I216" s="46">
        <v>50.17</v>
      </c>
      <c r="J216" s="46">
        <v>1</v>
      </c>
      <c r="K216" s="47">
        <v>2.8</v>
      </c>
      <c r="L216" s="51">
        <f t="shared" ref="L216:L247" si="10">H216*I216*J216*K216</f>
        <v>280.952</v>
      </c>
    </row>
    <row r="217" spans="2:12" x14ac:dyDescent="0.2">
      <c r="B217" s="43" t="s">
        <v>16</v>
      </c>
      <c r="C217" s="44" t="str">
        <f>IF(B217="","",VLOOKUP(B217,ORÇAMENTO!$B$7:C147,2,0))</f>
        <v>FORRO E SANCA EM GESSO</v>
      </c>
      <c r="D217" s="44" t="s">
        <v>113</v>
      </c>
      <c r="E217" s="44" t="e">
        <f>IF(D217="","",VLOOKUP(D217,ORÇAMENTO!$B$7:$E$73,2,0))</f>
        <v>#N/A</v>
      </c>
      <c r="F217" s="44" t="s">
        <v>31</v>
      </c>
      <c r="G217" s="61"/>
      <c r="H217" s="45">
        <v>2</v>
      </c>
      <c r="I217" s="46">
        <v>7.39</v>
      </c>
      <c r="J217" s="46">
        <v>1</v>
      </c>
      <c r="K217" s="47">
        <v>1</v>
      </c>
      <c r="L217" s="51">
        <f t="shared" si="10"/>
        <v>14.78</v>
      </c>
    </row>
    <row r="218" spans="2:12" x14ac:dyDescent="0.2">
      <c r="B218" s="43" t="s">
        <v>16</v>
      </c>
      <c r="C218" s="44" t="str">
        <f>IF(B218="","",VLOOKUP(B218,ORÇAMENTO!$B$7:C151,2,0))</f>
        <v>FORRO E SANCA EM GESSO</v>
      </c>
      <c r="D218" s="44" t="s">
        <v>113</v>
      </c>
      <c r="E218" s="44" t="e">
        <f>IF(D218="","",VLOOKUP(D218,ORÇAMENTO!$B$7:$E$73,2,0))</f>
        <v>#N/A</v>
      </c>
      <c r="F218" s="44" t="s">
        <v>28</v>
      </c>
      <c r="G218" s="61"/>
      <c r="H218" s="45">
        <v>1</v>
      </c>
      <c r="I218" s="46">
        <v>190.48</v>
      </c>
      <c r="J218" s="46">
        <v>1</v>
      </c>
      <c r="K218" s="47">
        <v>2.8</v>
      </c>
      <c r="L218" s="51">
        <f t="shared" si="10"/>
        <v>533.34399999999994</v>
      </c>
    </row>
    <row r="219" spans="2:12" x14ac:dyDescent="0.2">
      <c r="B219" s="43" t="s">
        <v>16</v>
      </c>
      <c r="C219" s="44" t="str">
        <f>IF(B219="","",VLOOKUP(B219,ORÇAMENTO!$B$7:C152,2,0))</f>
        <v>FORRO E SANCA EM GESSO</v>
      </c>
      <c r="D219" s="44" t="s">
        <v>113</v>
      </c>
      <c r="E219" s="44" t="e">
        <f>IF(D219="","",VLOOKUP(D219,ORÇAMENTO!$B$7:$E$73,2,0))</f>
        <v>#N/A</v>
      </c>
      <c r="F219" s="44" t="s">
        <v>28</v>
      </c>
      <c r="G219" s="61"/>
      <c r="H219" s="45">
        <v>1</v>
      </c>
      <c r="I219" s="46">
        <v>36.85</v>
      </c>
      <c r="J219" s="46">
        <v>1</v>
      </c>
      <c r="K219" s="47">
        <v>1.8</v>
      </c>
      <c r="L219" s="51">
        <f t="shared" si="10"/>
        <v>66.33</v>
      </c>
    </row>
    <row r="220" spans="2:12" x14ac:dyDescent="0.2">
      <c r="B220" s="43" t="s">
        <v>16</v>
      </c>
      <c r="C220" s="44" t="str">
        <f>IF(B220="","",VLOOKUP(B220,ORÇAMENTO!$B$7:C154,2,0))</f>
        <v>FORRO E SANCA EM GESSO</v>
      </c>
      <c r="D220" s="44" t="s">
        <v>113</v>
      </c>
      <c r="E220" s="44" t="e">
        <f>IF(D220="","",VLOOKUP(D220,ORÇAMENTO!$B$7:$E$73,2,0))</f>
        <v>#N/A</v>
      </c>
      <c r="F220" s="44" t="s">
        <v>28</v>
      </c>
      <c r="G220" s="44"/>
      <c r="H220" s="45">
        <v>1</v>
      </c>
      <c r="I220" s="46">
        <v>9.8699999999999992</v>
      </c>
      <c r="J220" s="46">
        <v>1</v>
      </c>
      <c r="K220" s="47">
        <v>1</v>
      </c>
      <c r="L220" s="51">
        <f t="shared" si="10"/>
        <v>9.8699999999999992</v>
      </c>
    </row>
    <row r="221" spans="2:12" x14ac:dyDescent="0.2">
      <c r="B221" s="43" t="s">
        <v>16</v>
      </c>
      <c r="C221" s="44" t="str">
        <f>IF(B221="","",VLOOKUP(B221,ORÇAMENTO!$B$7:C155,2,0))</f>
        <v>FORRO E SANCA EM GESSO</v>
      </c>
      <c r="D221" s="44" t="s">
        <v>113</v>
      </c>
      <c r="E221" s="44" t="e">
        <f>IF(D221="","",VLOOKUP(D221,ORÇAMENTO!$B$7:$E$73,2,0))</f>
        <v>#N/A</v>
      </c>
      <c r="F221" s="44" t="s">
        <v>29</v>
      </c>
      <c r="G221" s="44"/>
      <c r="H221" s="45">
        <v>5</v>
      </c>
      <c r="I221" s="46">
        <v>213.72</v>
      </c>
      <c r="J221" s="46">
        <v>1</v>
      </c>
      <c r="K221" s="47">
        <v>2.6</v>
      </c>
      <c r="L221" s="51">
        <f t="shared" si="10"/>
        <v>2778.3599999999997</v>
      </c>
    </row>
    <row r="222" spans="2:12" x14ac:dyDescent="0.2">
      <c r="B222" s="43" t="s">
        <v>16</v>
      </c>
      <c r="C222" s="44" t="str">
        <f>IF(B222="","",VLOOKUP(B222,ORÇAMENTO!$B$7:C156,2,0))</f>
        <v>FORRO E SANCA EM GESSO</v>
      </c>
      <c r="D222" s="44" t="s">
        <v>113</v>
      </c>
      <c r="E222" s="44" t="e">
        <f>IF(D222="","",VLOOKUP(D222,ORÇAMENTO!$B$7:$E$73,2,0))</f>
        <v>#N/A</v>
      </c>
      <c r="F222" s="44" t="s">
        <v>29</v>
      </c>
      <c r="G222" s="44"/>
      <c r="H222" s="45">
        <v>5</v>
      </c>
      <c r="I222" s="46">
        <v>22.85</v>
      </c>
      <c r="J222" s="46">
        <v>1</v>
      </c>
      <c r="K222" s="47">
        <v>1</v>
      </c>
      <c r="L222" s="51">
        <f t="shared" si="10"/>
        <v>114.25</v>
      </c>
    </row>
    <row r="223" spans="2:12" x14ac:dyDescent="0.2">
      <c r="B223" s="43" t="s">
        <v>16</v>
      </c>
      <c r="C223" s="44" t="str">
        <f>IF(B223="","",VLOOKUP(B223,ORÇAMENTO!$B$7:C158,2,0))</f>
        <v>FORRO E SANCA EM GESSO</v>
      </c>
      <c r="D223" s="44" t="s">
        <v>113</v>
      </c>
      <c r="E223" s="44" t="e">
        <f>IF(D223="","",VLOOKUP(D223,ORÇAMENTO!$B$7:$E$73,2,0))</f>
        <v>#N/A</v>
      </c>
      <c r="F223" s="44" t="s">
        <v>34</v>
      </c>
      <c r="G223" s="44"/>
      <c r="H223" s="45">
        <v>2</v>
      </c>
      <c r="I223" s="46">
        <v>219.36</v>
      </c>
      <c r="J223" s="46">
        <v>1</v>
      </c>
      <c r="K223" s="47">
        <v>2.8</v>
      </c>
      <c r="L223" s="51">
        <f t="shared" si="10"/>
        <v>1228.4159999999999</v>
      </c>
    </row>
    <row r="224" spans="2:12" x14ac:dyDescent="0.2">
      <c r="B224" s="43" t="s">
        <v>16</v>
      </c>
      <c r="C224" s="44" t="str">
        <f>IF(B224="","",VLOOKUP(B224,ORÇAMENTO!$B$7:C159,2,0))</f>
        <v>FORRO E SANCA EM GESSO</v>
      </c>
      <c r="D224" s="44" t="s">
        <v>113</v>
      </c>
      <c r="E224" s="44" t="e">
        <f>IF(D224="","",VLOOKUP(D224,ORÇAMENTO!$B$7:$E$73,2,0))</f>
        <v>#N/A</v>
      </c>
      <c r="F224" s="44" t="s">
        <v>34</v>
      </c>
      <c r="G224" s="44"/>
      <c r="H224" s="45">
        <v>4</v>
      </c>
      <c r="I224" s="46">
        <v>22.85</v>
      </c>
      <c r="J224" s="46">
        <v>1</v>
      </c>
      <c r="K224" s="47">
        <v>2.8</v>
      </c>
      <c r="L224" s="51">
        <f t="shared" si="10"/>
        <v>255.92</v>
      </c>
    </row>
    <row r="225" spans="2:12" x14ac:dyDescent="0.2">
      <c r="B225" s="43" t="s">
        <v>16</v>
      </c>
      <c r="C225" s="44" t="str">
        <f>IF(B225="","",VLOOKUP(B225,ORÇAMENTO!$B$7:C161,2,0))</f>
        <v>FORRO E SANCA EM GESSO</v>
      </c>
      <c r="D225" s="44" t="s">
        <v>113</v>
      </c>
      <c r="E225" s="44" t="e">
        <f>IF(D225="","",VLOOKUP(D225,ORÇAMENTO!$B$7:$E$73,2,0))</f>
        <v>#N/A</v>
      </c>
      <c r="F225" s="44" t="s">
        <v>15</v>
      </c>
      <c r="G225" s="44"/>
      <c r="H225" s="45">
        <v>1</v>
      </c>
      <c r="I225" s="46">
        <v>2.38</v>
      </c>
      <c r="J225" s="46">
        <v>1</v>
      </c>
      <c r="K225" s="47">
        <v>2.8</v>
      </c>
      <c r="L225" s="51">
        <f t="shared" si="10"/>
        <v>6.6639999999999997</v>
      </c>
    </row>
    <row r="226" spans="2:12" x14ac:dyDescent="0.2">
      <c r="B226" s="43" t="s">
        <v>16</v>
      </c>
      <c r="C226" s="44" t="str">
        <f>IF(B226="","",VLOOKUP(B226,ORÇAMENTO!$B$7:C162,2,0))</f>
        <v>FORRO E SANCA EM GESSO</v>
      </c>
      <c r="D226" s="44" t="s">
        <v>113</v>
      </c>
      <c r="E226" s="44" t="e">
        <f>IF(D226="","",VLOOKUP(D226,ORÇAMENTO!$B$7:$E$73,2,0))</f>
        <v>#N/A</v>
      </c>
      <c r="F226" s="44" t="s">
        <v>15</v>
      </c>
      <c r="G226" s="44"/>
      <c r="H226" s="45">
        <v>1</v>
      </c>
      <c r="I226" s="46">
        <v>2.08</v>
      </c>
      <c r="J226" s="46">
        <v>1</v>
      </c>
      <c r="K226" s="47">
        <v>2.2999999999999998</v>
      </c>
      <c r="L226" s="51">
        <f t="shared" si="10"/>
        <v>4.7839999999999998</v>
      </c>
    </row>
    <row r="227" spans="2:12" x14ac:dyDescent="0.2">
      <c r="B227" s="43" t="s">
        <v>16</v>
      </c>
      <c r="C227" s="44" t="str">
        <f>IF(B227="","",VLOOKUP(B227,ORÇAMENTO!$B$7:C163,2,0))</f>
        <v>FORRO E SANCA EM GESSO</v>
      </c>
      <c r="D227" s="44" t="s">
        <v>113</v>
      </c>
      <c r="E227" s="44" t="e">
        <f>IF(D227="","",VLOOKUP(D227,ORÇAMENTO!$B$7:$E$73,2,0))</f>
        <v>#N/A</v>
      </c>
      <c r="F227" s="44" t="s">
        <v>15</v>
      </c>
      <c r="G227" s="44"/>
      <c r="H227" s="45">
        <v>1</v>
      </c>
      <c r="I227" s="46">
        <v>18.36</v>
      </c>
      <c r="J227" s="46">
        <v>1</v>
      </c>
      <c r="K227" s="47">
        <v>2.15</v>
      </c>
      <c r="L227" s="51">
        <f t="shared" si="10"/>
        <v>39.473999999999997</v>
      </c>
    </row>
    <row r="228" spans="2:12" x14ac:dyDescent="0.2">
      <c r="B228" s="43" t="s">
        <v>16</v>
      </c>
      <c r="C228" s="44" t="str">
        <f>IF(B228="","",VLOOKUP(B228,ORÇAMENTO!$B$7:C164,2,0))</f>
        <v>FORRO E SANCA EM GESSO</v>
      </c>
      <c r="D228" s="44" t="s">
        <v>113</v>
      </c>
      <c r="E228" s="44" t="e">
        <f>IF(D228="","",VLOOKUP(D228,ORÇAMENTO!$B$7:$E$73,2,0))</f>
        <v>#N/A</v>
      </c>
      <c r="F228" s="44" t="s">
        <v>15</v>
      </c>
      <c r="G228" s="44"/>
      <c r="H228" s="45">
        <v>1</v>
      </c>
      <c r="I228" s="46">
        <v>11</v>
      </c>
      <c r="J228" s="46">
        <v>1</v>
      </c>
      <c r="K228" s="47">
        <v>1.8</v>
      </c>
      <c r="L228" s="51">
        <f t="shared" si="10"/>
        <v>19.8</v>
      </c>
    </row>
    <row r="229" spans="2:12" x14ac:dyDescent="0.2">
      <c r="B229" s="43" t="s">
        <v>16</v>
      </c>
      <c r="C229" s="44" t="str">
        <f>IF(B229="","",VLOOKUP(B229,ORÇAMENTO!$B$7:C165,2,0))</f>
        <v>FORRO E SANCA EM GESSO</v>
      </c>
      <c r="D229" s="44" t="s">
        <v>113</v>
      </c>
      <c r="E229" s="44" t="e">
        <f>IF(D229="","",VLOOKUP(D229,ORÇAMENTO!$B$7:$E$73,2,0))</f>
        <v>#N/A</v>
      </c>
      <c r="F229" s="44" t="s">
        <v>15</v>
      </c>
      <c r="G229" s="44"/>
      <c r="H229" s="45">
        <v>1</v>
      </c>
      <c r="I229" s="46">
        <v>33</v>
      </c>
      <c r="J229" s="46">
        <v>1</v>
      </c>
      <c r="K229" s="47">
        <v>1.2</v>
      </c>
      <c r="L229" s="51">
        <f t="shared" si="10"/>
        <v>39.6</v>
      </c>
    </row>
    <row r="230" spans="2:12" x14ac:dyDescent="0.2">
      <c r="B230" s="43" t="s">
        <v>16</v>
      </c>
      <c r="C230" s="44" t="str">
        <f>IF(B230="","",VLOOKUP(B230,ORÇAMENTO!$B$7:C163,2,0))</f>
        <v>FORRO E SANCA EM GESSO</v>
      </c>
      <c r="D230" s="44" t="s">
        <v>113</v>
      </c>
      <c r="E230" s="44" t="e">
        <f>IF(D230="","",VLOOKUP(D230,ORÇAMENTO!$B$7:$E$73,2,0))</f>
        <v>#N/A</v>
      </c>
      <c r="F230" s="44" t="s">
        <v>15</v>
      </c>
      <c r="G230" s="44"/>
      <c r="H230" s="45">
        <v>1</v>
      </c>
      <c r="I230" s="46">
        <v>1.65</v>
      </c>
      <c r="J230" s="46">
        <v>1</v>
      </c>
      <c r="K230" s="47">
        <v>1</v>
      </c>
      <c r="L230" s="51">
        <f t="shared" si="10"/>
        <v>1.65</v>
      </c>
    </row>
    <row r="231" spans="2:12" x14ac:dyDescent="0.2">
      <c r="B231" s="43" t="s">
        <v>16</v>
      </c>
      <c r="C231" s="44" t="str">
        <f>IF(B231="","",VLOOKUP(B231,ORÇAMENTO!$B$7:C164,2,0))</f>
        <v>FORRO E SANCA EM GESSO</v>
      </c>
      <c r="D231" s="44" t="s">
        <v>113</v>
      </c>
      <c r="E231" s="44" t="e">
        <f>IF(D231="","",VLOOKUP(D231,ORÇAMENTO!$B$7:$E$73,2,0))</f>
        <v>#N/A</v>
      </c>
      <c r="F231" s="44" t="s">
        <v>15</v>
      </c>
      <c r="G231" s="44"/>
      <c r="H231" s="45">
        <v>1</v>
      </c>
      <c r="I231" s="46">
        <v>0.68</v>
      </c>
      <c r="J231" s="46">
        <v>1</v>
      </c>
      <c r="K231" s="47">
        <v>0.5</v>
      </c>
      <c r="L231" s="51">
        <f t="shared" si="10"/>
        <v>0.34</v>
      </c>
    </row>
    <row r="232" spans="2:12" x14ac:dyDescent="0.2">
      <c r="B232" s="43" t="s">
        <v>16</v>
      </c>
      <c r="C232" s="44" t="str">
        <f>IF(B232="","",VLOOKUP(B232,ORÇAMENTO!$B$7:C166,2,0))</f>
        <v>FORRO E SANCA EM GESSO</v>
      </c>
      <c r="D232" s="44" t="s">
        <v>113</v>
      </c>
      <c r="E232" s="44" t="e">
        <f>IF(D232="","",VLOOKUP(D232,ORÇAMENTO!$B$7:$E$73,2,0))</f>
        <v>#N/A</v>
      </c>
      <c r="F232" s="44" t="s">
        <v>30</v>
      </c>
      <c r="G232" s="44"/>
      <c r="H232" s="45">
        <v>2</v>
      </c>
      <c r="I232" s="46">
        <v>6.9</v>
      </c>
      <c r="J232" s="46">
        <v>1</v>
      </c>
      <c r="K232" s="47">
        <v>2.8</v>
      </c>
      <c r="L232" s="51">
        <f t="shared" si="10"/>
        <v>38.64</v>
      </c>
    </row>
    <row r="233" spans="2:12" x14ac:dyDescent="0.2">
      <c r="B233" s="43" t="s">
        <v>16</v>
      </c>
      <c r="C233" s="44" t="str">
        <f>IF(B233="","",VLOOKUP(B233,ORÇAMENTO!$B$7:C167,2,0))</f>
        <v>FORRO E SANCA EM GESSO</v>
      </c>
      <c r="D233" s="44" t="s">
        <v>113</v>
      </c>
      <c r="E233" s="44" t="e">
        <f>IF(D233="","",VLOOKUP(D233,ORÇAMENTO!$B$7:$E$73,2,0))</f>
        <v>#N/A</v>
      </c>
      <c r="F233" s="44" t="s">
        <v>30</v>
      </c>
      <c r="G233" s="44"/>
      <c r="H233" s="45">
        <v>4</v>
      </c>
      <c r="I233" s="46">
        <v>16.45</v>
      </c>
      <c r="J233" s="46">
        <v>1</v>
      </c>
      <c r="K233" s="47">
        <v>2.8</v>
      </c>
      <c r="L233" s="51">
        <f t="shared" si="10"/>
        <v>184.23999999999998</v>
      </c>
    </row>
    <row r="234" spans="2:12" x14ac:dyDescent="0.2">
      <c r="B234" s="43" t="s">
        <v>16</v>
      </c>
      <c r="C234" s="44" t="str">
        <f>IF(B234="","",VLOOKUP(B234,ORÇAMENTO!$B$7:C228,2,0))</f>
        <v>FORRO E SANCA EM GESSO</v>
      </c>
      <c r="D234" s="44" t="s">
        <v>114</v>
      </c>
      <c r="E234" s="44" t="e">
        <f>IF(D234="","",VLOOKUP(D234,ORÇAMENTO!$B$7:$E$73,2,0))</f>
        <v>#N/A</v>
      </c>
      <c r="F234" s="44" t="s">
        <v>28</v>
      </c>
      <c r="G234" s="44" t="s">
        <v>45</v>
      </c>
      <c r="H234" s="45">
        <v>1</v>
      </c>
      <c r="I234" s="46">
        <v>5</v>
      </c>
      <c r="J234" s="46">
        <v>1</v>
      </c>
      <c r="K234" s="47">
        <v>2.8</v>
      </c>
      <c r="L234" s="51">
        <f t="shared" si="10"/>
        <v>14</v>
      </c>
    </row>
    <row r="235" spans="2:12" x14ac:dyDescent="0.2">
      <c r="B235" s="43" t="s">
        <v>16</v>
      </c>
      <c r="C235" s="44" t="str">
        <f>IF(B235="","",VLOOKUP(B235,ORÇAMENTO!$B$7:C230,2,0))</f>
        <v>FORRO E SANCA EM GESSO</v>
      </c>
      <c r="D235" s="44" t="s">
        <v>114</v>
      </c>
      <c r="E235" s="44" t="e">
        <f>IF(D235="","",VLOOKUP(D235,ORÇAMENTO!$B$7:$E$73,2,0))</f>
        <v>#N/A</v>
      </c>
      <c r="F235" s="44" t="s">
        <v>28</v>
      </c>
      <c r="G235" s="44" t="s">
        <v>57</v>
      </c>
      <c r="H235" s="45">
        <v>1</v>
      </c>
      <c r="I235" s="46">
        <v>5.7</v>
      </c>
      <c r="J235" s="46">
        <v>1</v>
      </c>
      <c r="K235" s="47">
        <v>2.8</v>
      </c>
      <c r="L235" s="51">
        <f t="shared" si="10"/>
        <v>15.959999999999999</v>
      </c>
    </row>
    <row r="236" spans="2:12" x14ac:dyDescent="0.2">
      <c r="B236" s="43" t="s">
        <v>16</v>
      </c>
      <c r="C236" s="44" t="str">
        <f>IF(B236="","",VLOOKUP(B236,ORÇAMENTO!$B$7:C231,2,0))</f>
        <v>FORRO E SANCA EM GESSO</v>
      </c>
      <c r="D236" s="44" t="s">
        <v>114</v>
      </c>
      <c r="E236" s="44" t="e">
        <f>IF(D236="","",VLOOKUP(D236,ORÇAMENTO!$B$7:$E$73,2,0))</f>
        <v>#N/A</v>
      </c>
      <c r="F236" s="44" t="s">
        <v>28</v>
      </c>
      <c r="G236" s="44" t="s">
        <v>58</v>
      </c>
      <c r="H236" s="45">
        <v>1</v>
      </c>
      <c r="I236" s="46">
        <v>6.14</v>
      </c>
      <c r="J236" s="46">
        <v>1</v>
      </c>
      <c r="K236" s="47">
        <v>2.8</v>
      </c>
      <c r="L236" s="51">
        <f t="shared" si="10"/>
        <v>17.191999999999997</v>
      </c>
    </row>
    <row r="237" spans="2:12" x14ac:dyDescent="0.2">
      <c r="B237" s="43" t="s">
        <v>16</v>
      </c>
      <c r="C237" s="44" t="str">
        <f>IF(B237="","",VLOOKUP(B237,ORÇAMENTO!$B$7:C232,2,0))</f>
        <v>FORRO E SANCA EM GESSO</v>
      </c>
      <c r="D237" s="44" t="s">
        <v>114</v>
      </c>
      <c r="E237" s="44" t="e">
        <f>IF(D237="","",VLOOKUP(D237,ORÇAMENTO!$B$7:$E$73,2,0))</f>
        <v>#N/A</v>
      </c>
      <c r="F237" s="44" t="s">
        <v>29</v>
      </c>
      <c r="G237" s="44" t="s">
        <v>59</v>
      </c>
      <c r="H237" s="45">
        <f t="shared" ref="H237:H264" si="11">5*2</f>
        <v>10</v>
      </c>
      <c r="I237" s="46">
        <v>2.4500000000000002</v>
      </c>
      <c r="J237" s="46">
        <v>1</v>
      </c>
      <c r="K237" s="47">
        <v>2.8</v>
      </c>
      <c r="L237" s="51">
        <f t="shared" si="10"/>
        <v>68.599999999999994</v>
      </c>
    </row>
    <row r="238" spans="2:12" x14ac:dyDescent="0.2">
      <c r="B238" s="43" t="s">
        <v>16</v>
      </c>
      <c r="C238" s="44" t="str">
        <f>IF(B238="","",VLOOKUP(B238,ORÇAMENTO!$B$7:C233,2,0))</f>
        <v>FORRO E SANCA EM GESSO</v>
      </c>
      <c r="D238" s="44" t="s">
        <v>114</v>
      </c>
      <c r="E238" s="44" t="e">
        <f>IF(D238="","",VLOOKUP(D238,ORÇAMENTO!$B$7:$E$73,2,0))</f>
        <v>#N/A</v>
      </c>
      <c r="F238" s="44" t="s">
        <v>29</v>
      </c>
      <c r="G238" s="44" t="s">
        <v>59</v>
      </c>
      <c r="H238" s="45">
        <f t="shared" si="11"/>
        <v>10</v>
      </c>
      <c r="I238" s="46">
        <v>1.5</v>
      </c>
      <c r="J238" s="46">
        <v>1</v>
      </c>
      <c r="K238" s="47">
        <v>2.8</v>
      </c>
      <c r="L238" s="51">
        <f t="shared" si="10"/>
        <v>42</v>
      </c>
    </row>
    <row r="239" spans="2:12" x14ac:dyDescent="0.2">
      <c r="B239" s="43" t="s">
        <v>16</v>
      </c>
      <c r="C239" s="44" t="str">
        <f>IF(B239="","",VLOOKUP(B239,ORÇAMENTO!$B$7:C234,2,0))</f>
        <v>FORRO E SANCA EM GESSO</v>
      </c>
      <c r="D239" s="44" t="s">
        <v>114</v>
      </c>
      <c r="E239" s="44" t="e">
        <f>IF(D239="","",VLOOKUP(D239,ORÇAMENTO!$B$7:$E$73,2,0))</f>
        <v>#N/A</v>
      </c>
      <c r="F239" s="44" t="s">
        <v>29</v>
      </c>
      <c r="G239" s="44" t="s">
        <v>60</v>
      </c>
      <c r="H239" s="45">
        <f t="shared" si="11"/>
        <v>10</v>
      </c>
      <c r="I239" s="46">
        <v>3.25</v>
      </c>
      <c r="J239" s="46">
        <v>1</v>
      </c>
      <c r="K239" s="47">
        <v>2.8</v>
      </c>
      <c r="L239" s="51">
        <f t="shared" si="10"/>
        <v>91</v>
      </c>
    </row>
    <row r="240" spans="2:12" x14ac:dyDescent="0.2">
      <c r="B240" s="43" t="s">
        <v>16</v>
      </c>
      <c r="C240" s="44" t="str">
        <f>IF(B240="","",VLOOKUP(B240,ORÇAMENTO!$B$7:C235,2,0))</f>
        <v>FORRO E SANCA EM GESSO</v>
      </c>
      <c r="D240" s="44" t="s">
        <v>114</v>
      </c>
      <c r="E240" s="44" t="e">
        <f>IF(D240="","",VLOOKUP(D240,ORÇAMENTO!$B$7:$E$73,2,0))</f>
        <v>#N/A</v>
      </c>
      <c r="F240" s="44" t="s">
        <v>29</v>
      </c>
      <c r="G240" s="44" t="s">
        <v>60</v>
      </c>
      <c r="H240" s="45">
        <f t="shared" si="11"/>
        <v>10</v>
      </c>
      <c r="I240" s="46">
        <v>3.35</v>
      </c>
      <c r="J240" s="46">
        <v>1</v>
      </c>
      <c r="K240" s="47">
        <v>2.8</v>
      </c>
      <c r="L240" s="51">
        <f t="shared" si="10"/>
        <v>93.8</v>
      </c>
    </row>
    <row r="241" spans="2:12" x14ac:dyDescent="0.2">
      <c r="B241" s="43" t="s">
        <v>16</v>
      </c>
      <c r="C241" s="44" t="str">
        <f>IF(B241="","",VLOOKUP(B241,ORÇAMENTO!$B$7:C236,2,0))</f>
        <v>FORRO E SANCA EM GESSO</v>
      </c>
      <c r="D241" s="44" t="s">
        <v>114</v>
      </c>
      <c r="E241" s="44" t="e">
        <f>IF(D241="","",VLOOKUP(D241,ORÇAMENTO!$B$7:$E$73,2,0))</f>
        <v>#N/A</v>
      </c>
      <c r="F241" s="44" t="s">
        <v>29</v>
      </c>
      <c r="G241" s="44" t="s">
        <v>61</v>
      </c>
      <c r="H241" s="45">
        <f t="shared" si="11"/>
        <v>10</v>
      </c>
      <c r="I241" s="46">
        <v>1.05</v>
      </c>
      <c r="J241" s="46">
        <v>1</v>
      </c>
      <c r="K241" s="47">
        <v>2.8</v>
      </c>
      <c r="L241" s="51">
        <f t="shared" si="10"/>
        <v>29.4</v>
      </c>
    </row>
    <row r="242" spans="2:12" x14ac:dyDescent="0.2">
      <c r="B242" s="43" t="s">
        <v>16</v>
      </c>
      <c r="C242" s="44" t="str">
        <f>IF(B242="","",VLOOKUP(B242,ORÇAMENTO!$B$7:C237,2,0))</f>
        <v>FORRO E SANCA EM GESSO</v>
      </c>
      <c r="D242" s="44" t="s">
        <v>114</v>
      </c>
      <c r="E242" s="44" t="e">
        <f>IF(D242="","",VLOOKUP(D242,ORÇAMENTO!$B$7:$E$73,2,0))</f>
        <v>#N/A</v>
      </c>
      <c r="F242" s="44" t="s">
        <v>29</v>
      </c>
      <c r="G242" s="44" t="s">
        <v>61</v>
      </c>
      <c r="H242" s="45">
        <f t="shared" si="11"/>
        <v>10</v>
      </c>
      <c r="I242" s="46">
        <v>1.95</v>
      </c>
      <c r="J242" s="46">
        <v>1</v>
      </c>
      <c r="K242" s="47">
        <v>2.8</v>
      </c>
      <c r="L242" s="51">
        <f t="shared" si="10"/>
        <v>54.599999999999994</v>
      </c>
    </row>
    <row r="243" spans="2:12" x14ac:dyDescent="0.2">
      <c r="B243" s="43" t="s">
        <v>16</v>
      </c>
      <c r="C243" s="44" t="str">
        <f>IF(B243="","",VLOOKUP(B243,ORÇAMENTO!$B$7:C238,2,0))</f>
        <v>FORRO E SANCA EM GESSO</v>
      </c>
      <c r="D243" s="44" t="s">
        <v>114</v>
      </c>
      <c r="E243" s="44" t="e">
        <f>IF(D243="","",VLOOKUP(D243,ORÇAMENTO!$B$7:$E$73,2,0))</f>
        <v>#N/A</v>
      </c>
      <c r="F243" s="44" t="s">
        <v>29</v>
      </c>
      <c r="G243" s="44" t="s">
        <v>62</v>
      </c>
      <c r="H243" s="45">
        <f t="shared" si="11"/>
        <v>10</v>
      </c>
      <c r="I243" s="46">
        <v>2</v>
      </c>
      <c r="J243" s="46">
        <v>1</v>
      </c>
      <c r="K243" s="47">
        <v>2.2000000000000002</v>
      </c>
      <c r="L243" s="51">
        <f t="shared" si="10"/>
        <v>44</v>
      </c>
    </row>
    <row r="244" spans="2:12" x14ac:dyDescent="0.2">
      <c r="B244" s="43" t="s">
        <v>16</v>
      </c>
      <c r="C244" s="44" t="str">
        <f>IF(B244="","",VLOOKUP(B244,ORÇAMENTO!$B$7:C239,2,0))</f>
        <v>FORRO E SANCA EM GESSO</v>
      </c>
      <c r="D244" s="44" t="s">
        <v>114</v>
      </c>
      <c r="E244" s="44" t="e">
        <f>IF(D244="","",VLOOKUP(D244,ORÇAMENTO!$B$7:$E$73,2,0))</f>
        <v>#N/A</v>
      </c>
      <c r="F244" s="44" t="s">
        <v>29</v>
      </c>
      <c r="G244" s="44" t="s">
        <v>62</v>
      </c>
      <c r="H244" s="45">
        <f t="shared" si="11"/>
        <v>10</v>
      </c>
      <c r="I244" s="46">
        <v>1.95</v>
      </c>
      <c r="J244" s="46">
        <v>1</v>
      </c>
      <c r="K244" s="47">
        <v>2.2000000000000002</v>
      </c>
      <c r="L244" s="51">
        <f t="shared" si="10"/>
        <v>42.900000000000006</v>
      </c>
    </row>
    <row r="245" spans="2:12" x14ac:dyDescent="0.2">
      <c r="B245" s="43" t="s">
        <v>16</v>
      </c>
      <c r="C245" s="44" t="str">
        <f>IF(B245="","",VLOOKUP(B245,ORÇAMENTO!$B$7:C240,2,0))</f>
        <v>FORRO E SANCA EM GESSO</v>
      </c>
      <c r="D245" s="44" t="s">
        <v>114</v>
      </c>
      <c r="E245" s="44" t="e">
        <f>IF(D245="","",VLOOKUP(D245,ORÇAMENTO!$B$7:$E$73,2,0))</f>
        <v>#N/A</v>
      </c>
      <c r="F245" s="44" t="s">
        <v>29</v>
      </c>
      <c r="G245" s="44" t="s">
        <v>63</v>
      </c>
      <c r="H245" s="45">
        <f t="shared" si="11"/>
        <v>10</v>
      </c>
      <c r="I245" s="46">
        <v>1.95</v>
      </c>
      <c r="J245" s="46">
        <v>1</v>
      </c>
      <c r="K245" s="47">
        <v>2.2000000000000002</v>
      </c>
      <c r="L245" s="51">
        <f t="shared" si="10"/>
        <v>42.900000000000006</v>
      </c>
    </row>
    <row r="246" spans="2:12" x14ac:dyDescent="0.2">
      <c r="B246" s="43" t="s">
        <v>16</v>
      </c>
      <c r="C246" s="44" t="str">
        <f>IF(B246="","",VLOOKUP(B246,ORÇAMENTO!$B$7:C241,2,0))</f>
        <v>FORRO E SANCA EM GESSO</v>
      </c>
      <c r="D246" s="44" t="s">
        <v>114</v>
      </c>
      <c r="E246" s="44" t="e">
        <f>IF(D246="","",VLOOKUP(D246,ORÇAMENTO!$B$7:$E$73,2,0))</f>
        <v>#N/A</v>
      </c>
      <c r="F246" s="44" t="s">
        <v>29</v>
      </c>
      <c r="G246" s="44" t="s">
        <v>63</v>
      </c>
      <c r="H246" s="45">
        <f t="shared" si="11"/>
        <v>10</v>
      </c>
      <c r="I246" s="46">
        <v>1.95</v>
      </c>
      <c r="J246" s="46">
        <v>1</v>
      </c>
      <c r="K246" s="47">
        <v>2.2000000000000002</v>
      </c>
      <c r="L246" s="51">
        <f t="shared" si="10"/>
        <v>42.900000000000006</v>
      </c>
    </row>
    <row r="247" spans="2:12" x14ac:dyDescent="0.2">
      <c r="B247" s="43" t="s">
        <v>16</v>
      </c>
      <c r="C247" s="44" t="str">
        <f>IF(B247="","",VLOOKUP(B247,ORÇAMENTO!$B$7:C242,2,0))</f>
        <v>FORRO E SANCA EM GESSO</v>
      </c>
      <c r="D247" s="44" t="s">
        <v>114</v>
      </c>
      <c r="E247" s="44" t="e">
        <f>IF(D247="","",VLOOKUP(D247,ORÇAMENTO!$B$7:$E$73,2,0))</f>
        <v>#N/A</v>
      </c>
      <c r="F247" s="44" t="s">
        <v>29</v>
      </c>
      <c r="G247" s="44" t="s">
        <v>64</v>
      </c>
      <c r="H247" s="45">
        <f t="shared" si="11"/>
        <v>10</v>
      </c>
      <c r="I247" s="46">
        <v>1.6</v>
      </c>
      <c r="J247" s="46">
        <v>1</v>
      </c>
      <c r="K247" s="47">
        <v>2.2000000000000002</v>
      </c>
      <c r="L247" s="51">
        <f t="shared" si="10"/>
        <v>35.200000000000003</v>
      </c>
    </row>
    <row r="248" spans="2:12" x14ac:dyDescent="0.2">
      <c r="B248" s="43" t="s">
        <v>16</v>
      </c>
      <c r="C248" s="44" t="str">
        <f>IF(B248="","",VLOOKUP(B248,ORÇAMENTO!$B$7:C243,2,0))</f>
        <v>FORRO E SANCA EM GESSO</v>
      </c>
      <c r="D248" s="44" t="s">
        <v>114</v>
      </c>
      <c r="E248" s="44" t="e">
        <f>IF(D248="","",VLOOKUP(D248,ORÇAMENTO!$B$7:$E$73,2,0))</f>
        <v>#N/A</v>
      </c>
      <c r="F248" s="44" t="s">
        <v>29</v>
      </c>
      <c r="G248" s="44" t="s">
        <v>64</v>
      </c>
      <c r="H248" s="45">
        <f t="shared" si="11"/>
        <v>10</v>
      </c>
      <c r="I248" s="46">
        <v>2.35</v>
      </c>
      <c r="J248" s="46">
        <v>1</v>
      </c>
      <c r="K248" s="47">
        <v>2.2000000000000002</v>
      </c>
      <c r="L248" s="51">
        <f t="shared" ref="L248:L279" si="12">H248*I248*J248*K248</f>
        <v>51.7</v>
      </c>
    </row>
    <row r="249" spans="2:12" x14ac:dyDescent="0.2">
      <c r="B249" s="43" t="s">
        <v>16</v>
      </c>
      <c r="C249" s="44" t="str">
        <f>IF(B249="","",VLOOKUP(B249,ORÇAMENTO!$B$7:C244,2,0))</f>
        <v>FORRO E SANCA EM GESSO</v>
      </c>
      <c r="D249" s="44" t="s">
        <v>114</v>
      </c>
      <c r="E249" s="44" t="e">
        <f>IF(D249="","",VLOOKUP(D249,ORÇAMENTO!$B$7:$E$73,2,0))</f>
        <v>#N/A</v>
      </c>
      <c r="F249" s="44" t="s">
        <v>29</v>
      </c>
      <c r="G249" s="44" t="s">
        <v>65</v>
      </c>
      <c r="H249" s="45">
        <f t="shared" si="11"/>
        <v>10</v>
      </c>
      <c r="I249" s="46">
        <v>0.95</v>
      </c>
      <c r="J249" s="46">
        <v>1</v>
      </c>
      <c r="K249" s="47">
        <v>2.2000000000000002</v>
      </c>
      <c r="L249" s="51">
        <f t="shared" si="12"/>
        <v>20.900000000000002</v>
      </c>
    </row>
    <row r="250" spans="2:12" x14ac:dyDescent="0.2">
      <c r="B250" s="43" t="s">
        <v>16</v>
      </c>
      <c r="C250" s="44" t="str">
        <f>IF(B250="","",VLOOKUP(B250,ORÇAMENTO!$B$7:C245,2,0))</f>
        <v>FORRO E SANCA EM GESSO</v>
      </c>
      <c r="D250" s="44" t="s">
        <v>114</v>
      </c>
      <c r="E250" s="44" t="e">
        <f>IF(D250="","",VLOOKUP(D250,ORÇAMENTO!$B$7:$E$73,2,0))</f>
        <v>#N/A</v>
      </c>
      <c r="F250" s="44" t="s">
        <v>29</v>
      </c>
      <c r="G250" s="44" t="s">
        <v>65</v>
      </c>
      <c r="H250" s="45">
        <f t="shared" si="11"/>
        <v>10</v>
      </c>
      <c r="I250" s="46">
        <v>1.6</v>
      </c>
      <c r="J250" s="46">
        <v>1</v>
      </c>
      <c r="K250" s="47">
        <v>2.2000000000000002</v>
      </c>
      <c r="L250" s="51">
        <f t="shared" si="12"/>
        <v>35.200000000000003</v>
      </c>
    </row>
    <row r="251" spans="2:12" x14ac:dyDescent="0.2">
      <c r="B251" s="43" t="s">
        <v>16</v>
      </c>
      <c r="C251" s="44" t="str">
        <f>IF(B251="","",VLOOKUP(B251,ORÇAMENTO!$B$7:C246,2,0))</f>
        <v>FORRO E SANCA EM GESSO</v>
      </c>
      <c r="D251" s="44" t="s">
        <v>114</v>
      </c>
      <c r="E251" s="44" t="e">
        <f>IF(D251="","",VLOOKUP(D251,ORÇAMENTO!$B$7:$E$73,2,0))</f>
        <v>#N/A</v>
      </c>
      <c r="F251" s="44" t="s">
        <v>34</v>
      </c>
      <c r="G251" s="44" t="s">
        <v>59</v>
      </c>
      <c r="H251" s="45">
        <f t="shared" si="11"/>
        <v>10</v>
      </c>
      <c r="I251" s="46">
        <v>2.4500000000000002</v>
      </c>
      <c r="J251" s="46">
        <v>1</v>
      </c>
      <c r="K251" s="47">
        <v>2.8</v>
      </c>
      <c r="L251" s="51">
        <f t="shared" si="12"/>
        <v>68.599999999999994</v>
      </c>
    </row>
    <row r="252" spans="2:12" x14ac:dyDescent="0.2">
      <c r="B252" s="43" t="s">
        <v>16</v>
      </c>
      <c r="C252" s="44" t="str">
        <f>IF(B252="","",VLOOKUP(B252,ORÇAMENTO!$B$7:C247,2,0))</f>
        <v>FORRO E SANCA EM GESSO</v>
      </c>
      <c r="D252" s="44" t="s">
        <v>114</v>
      </c>
      <c r="E252" s="44" t="e">
        <f>IF(D252="","",VLOOKUP(D252,ORÇAMENTO!$B$7:$E$73,2,0))</f>
        <v>#N/A</v>
      </c>
      <c r="F252" s="44" t="s">
        <v>34</v>
      </c>
      <c r="G252" s="44" t="s">
        <v>59</v>
      </c>
      <c r="H252" s="45">
        <f t="shared" si="11"/>
        <v>10</v>
      </c>
      <c r="I252" s="46">
        <v>1.5</v>
      </c>
      <c r="J252" s="46">
        <v>1</v>
      </c>
      <c r="K252" s="47">
        <v>2.8</v>
      </c>
      <c r="L252" s="51">
        <f t="shared" si="12"/>
        <v>42</v>
      </c>
    </row>
    <row r="253" spans="2:12" x14ac:dyDescent="0.2">
      <c r="B253" s="43" t="s">
        <v>16</v>
      </c>
      <c r="C253" s="44" t="str">
        <f>IF(B253="","",VLOOKUP(B253,ORÇAMENTO!$B$7:C248,2,0))</f>
        <v>FORRO E SANCA EM GESSO</v>
      </c>
      <c r="D253" s="44" t="s">
        <v>114</v>
      </c>
      <c r="E253" s="44" t="e">
        <f>IF(D253="","",VLOOKUP(D253,ORÇAMENTO!$B$7:$E$73,2,0))</f>
        <v>#N/A</v>
      </c>
      <c r="F253" s="44" t="s">
        <v>34</v>
      </c>
      <c r="G253" s="44" t="s">
        <v>60</v>
      </c>
      <c r="H253" s="45">
        <f t="shared" si="11"/>
        <v>10</v>
      </c>
      <c r="I253" s="46">
        <v>3.25</v>
      </c>
      <c r="J253" s="46">
        <v>1</v>
      </c>
      <c r="K253" s="47">
        <v>2.8</v>
      </c>
      <c r="L253" s="51">
        <f t="shared" si="12"/>
        <v>91</v>
      </c>
    </row>
    <row r="254" spans="2:12" x14ac:dyDescent="0.2">
      <c r="B254" s="43" t="s">
        <v>16</v>
      </c>
      <c r="C254" s="44" t="str">
        <f>IF(B254="","",VLOOKUP(B254,ORÇAMENTO!$B$7:C249,2,0))</f>
        <v>FORRO E SANCA EM GESSO</v>
      </c>
      <c r="D254" s="44" t="s">
        <v>114</v>
      </c>
      <c r="E254" s="44" t="e">
        <f>IF(D254="","",VLOOKUP(D254,ORÇAMENTO!$B$7:$E$73,2,0))</f>
        <v>#N/A</v>
      </c>
      <c r="F254" s="44" t="s">
        <v>34</v>
      </c>
      <c r="G254" s="44" t="s">
        <v>60</v>
      </c>
      <c r="H254" s="45">
        <f t="shared" si="11"/>
        <v>10</v>
      </c>
      <c r="I254" s="46">
        <v>3.35</v>
      </c>
      <c r="J254" s="46">
        <v>1</v>
      </c>
      <c r="K254" s="47">
        <v>2.8</v>
      </c>
      <c r="L254" s="51">
        <f t="shared" si="12"/>
        <v>93.8</v>
      </c>
    </row>
    <row r="255" spans="2:12" x14ac:dyDescent="0.2">
      <c r="B255" s="43" t="s">
        <v>16</v>
      </c>
      <c r="C255" s="44" t="str">
        <f>IF(B255="","",VLOOKUP(B255,ORÇAMENTO!$B$7:C250,2,0))</f>
        <v>FORRO E SANCA EM GESSO</v>
      </c>
      <c r="D255" s="44" t="s">
        <v>114</v>
      </c>
      <c r="E255" s="44" t="e">
        <f>IF(D255="","",VLOOKUP(D255,ORÇAMENTO!$B$7:$E$73,2,0))</f>
        <v>#N/A</v>
      </c>
      <c r="F255" s="44" t="s">
        <v>34</v>
      </c>
      <c r="G255" s="44" t="s">
        <v>61</v>
      </c>
      <c r="H255" s="45">
        <f t="shared" si="11"/>
        <v>10</v>
      </c>
      <c r="I255" s="46">
        <v>1.5</v>
      </c>
      <c r="J255" s="46">
        <v>1</v>
      </c>
      <c r="K255" s="47">
        <v>2.8</v>
      </c>
      <c r="L255" s="51">
        <f t="shared" si="12"/>
        <v>42</v>
      </c>
    </row>
    <row r="256" spans="2:12" x14ac:dyDescent="0.2">
      <c r="B256" s="43" t="s">
        <v>16</v>
      </c>
      <c r="C256" s="44" t="str">
        <f>IF(B256="","",VLOOKUP(B256,ORÇAMENTO!$B$7:C251,2,0))</f>
        <v>FORRO E SANCA EM GESSO</v>
      </c>
      <c r="D256" s="44" t="s">
        <v>114</v>
      </c>
      <c r="E256" s="44" t="e">
        <f>IF(D256="","",VLOOKUP(D256,ORÇAMENTO!$B$7:$E$73,2,0))</f>
        <v>#N/A</v>
      </c>
      <c r="F256" s="44" t="s">
        <v>34</v>
      </c>
      <c r="G256" s="44" t="s">
        <v>61</v>
      </c>
      <c r="H256" s="45">
        <f t="shared" si="11"/>
        <v>10</v>
      </c>
      <c r="I256" s="46">
        <v>1.1499999999999999</v>
      </c>
      <c r="J256" s="46">
        <v>1</v>
      </c>
      <c r="K256" s="47">
        <v>2.8</v>
      </c>
      <c r="L256" s="51">
        <f t="shared" si="12"/>
        <v>32.199999999999996</v>
      </c>
    </row>
    <row r="257" spans="2:12" x14ac:dyDescent="0.2">
      <c r="B257" s="43" t="s">
        <v>16</v>
      </c>
      <c r="C257" s="44" t="str">
        <f>IF(B257="","",VLOOKUP(B257,ORÇAMENTO!$B$7:C252,2,0))</f>
        <v>FORRO E SANCA EM GESSO</v>
      </c>
      <c r="D257" s="44" t="s">
        <v>114</v>
      </c>
      <c r="E257" s="44" t="e">
        <f>IF(D257="","",VLOOKUP(D257,ORÇAMENTO!$B$7:$E$73,2,0))</f>
        <v>#N/A</v>
      </c>
      <c r="F257" s="44" t="s">
        <v>34</v>
      </c>
      <c r="G257" s="44" t="s">
        <v>62</v>
      </c>
      <c r="H257" s="45">
        <f t="shared" si="11"/>
        <v>10</v>
      </c>
      <c r="I257" s="46">
        <v>2</v>
      </c>
      <c r="J257" s="46">
        <v>1</v>
      </c>
      <c r="K257" s="47">
        <v>2.2000000000000002</v>
      </c>
      <c r="L257" s="51">
        <f t="shared" si="12"/>
        <v>44</v>
      </c>
    </row>
    <row r="258" spans="2:12" x14ac:dyDescent="0.2">
      <c r="B258" s="43" t="s">
        <v>16</v>
      </c>
      <c r="C258" s="44" t="str">
        <f>IF(B258="","",VLOOKUP(B258,ORÇAMENTO!$B$7:C253,2,0))</f>
        <v>FORRO E SANCA EM GESSO</v>
      </c>
      <c r="D258" s="44" t="s">
        <v>114</v>
      </c>
      <c r="E258" s="44" t="e">
        <f>IF(D258="","",VLOOKUP(D258,ORÇAMENTO!$B$7:$E$73,2,0))</f>
        <v>#N/A</v>
      </c>
      <c r="F258" s="44" t="s">
        <v>34</v>
      </c>
      <c r="G258" s="44" t="s">
        <v>62</v>
      </c>
      <c r="H258" s="45">
        <f t="shared" si="11"/>
        <v>10</v>
      </c>
      <c r="I258" s="46">
        <v>1.95</v>
      </c>
      <c r="J258" s="46">
        <v>1</v>
      </c>
      <c r="K258" s="47">
        <v>2.2000000000000002</v>
      </c>
      <c r="L258" s="51">
        <f t="shared" si="12"/>
        <v>42.900000000000006</v>
      </c>
    </row>
    <row r="259" spans="2:12" x14ac:dyDescent="0.2">
      <c r="B259" s="43" t="s">
        <v>16</v>
      </c>
      <c r="C259" s="44" t="str">
        <f>IF(B259="","",VLOOKUP(B259,ORÇAMENTO!$B$7:C254,2,0))</f>
        <v>FORRO E SANCA EM GESSO</v>
      </c>
      <c r="D259" s="44" t="s">
        <v>114</v>
      </c>
      <c r="E259" s="44" t="e">
        <f>IF(D259="","",VLOOKUP(D259,ORÇAMENTO!$B$7:$E$73,2,0))</f>
        <v>#N/A</v>
      </c>
      <c r="F259" s="44" t="s">
        <v>34</v>
      </c>
      <c r="G259" s="44" t="s">
        <v>63</v>
      </c>
      <c r="H259" s="45">
        <f t="shared" si="11"/>
        <v>10</v>
      </c>
      <c r="I259" s="46">
        <v>1.95</v>
      </c>
      <c r="J259" s="46">
        <v>1</v>
      </c>
      <c r="K259" s="47">
        <v>2.2000000000000002</v>
      </c>
      <c r="L259" s="51">
        <f t="shared" si="12"/>
        <v>42.900000000000006</v>
      </c>
    </row>
    <row r="260" spans="2:12" x14ac:dyDescent="0.2">
      <c r="B260" s="43" t="s">
        <v>16</v>
      </c>
      <c r="C260" s="44" t="str">
        <f>IF(B260="","",VLOOKUP(B260,ORÇAMENTO!$B$7:C255,2,0))</f>
        <v>FORRO E SANCA EM GESSO</v>
      </c>
      <c r="D260" s="44" t="s">
        <v>114</v>
      </c>
      <c r="E260" s="44" t="e">
        <f>IF(D260="","",VLOOKUP(D260,ORÇAMENTO!$B$7:$E$73,2,0))</f>
        <v>#N/A</v>
      </c>
      <c r="F260" s="44" t="s">
        <v>34</v>
      </c>
      <c r="G260" s="44" t="s">
        <v>63</v>
      </c>
      <c r="H260" s="45">
        <f t="shared" si="11"/>
        <v>10</v>
      </c>
      <c r="I260" s="46">
        <v>1.95</v>
      </c>
      <c r="J260" s="46">
        <v>1</v>
      </c>
      <c r="K260" s="47">
        <v>2.2000000000000002</v>
      </c>
      <c r="L260" s="51">
        <f t="shared" si="12"/>
        <v>42.900000000000006</v>
      </c>
    </row>
    <row r="261" spans="2:12" x14ac:dyDescent="0.2">
      <c r="B261" s="43" t="s">
        <v>16</v>
      </c>
      <c r="C261" s="44" t="str">
        <f>IF(B261="","",VLOOKUP(B261,ORÇAMENTO!$B$7:C256,2,0))</f>
        <v>FORRO E SANCA EM GESSO</v>
      </c>
      <c r="D261" s="44" t="s">
        <v>114</v>
      </c>
      <c r="E261" s="44" t="e">
        <f>IF(D261="","",VLOOKUP(D261,ORÇAMENTO!$B$7:$E$73,2,0))</f>
        <v>#N/A</v>
      </c>
      <c r="F261" s="44" t="s">
        <v>34</v>
      </c>
      <c r="G261" s="44" t="s">
        <v>64</v>
      </c>
      <c r="H261" s="45">
        <f t="shared" si="11"/>
        <v>10</v>
      </c>
      <c r="I261" s="46">
        <v>1.6</v>
      </c>
      <c r="J261" s="46">
        <v>1</v>
      </c>
      <c r="K261" s="47">
        <v>2.2000000000000002</v>
      </c>
      <c r="L261" s="51">
        <f t="shared" si="12"/>
        <v>35.200000000000003</v>
      </c>
    </row>
    <row r="262" spans="2:12" x14ac:dyDescent="0.2">
      <c r="B262" s="43" t="s">
        <v>16</v>
      </c>
      <c r="C262" s="44" t="str">
        <f>IF(B262="","",VLOOKUP(B262,ORÇAMENTO!$B$7:C257,2,0))</f>
        <v>FORRO E SANCA EM GESSO</v>
      </c>
      <c r="D262" s="44" t="s">
        <v>114</v>
      </c>
      <c r="E262" s="44" t="e">
        <f>IF(D262="","",VLOOKUP(D262,ORÇAMENTO!$B$7:$E$73,2,0))</f>
        <v>#N/A</v>
      </c>
      <c r="F262" s="44" t="s">
        <v>34</v>
      </c>
      <c r="G262" s="44" t="s">
        <v>64</v>
      </c>
      <c r="H262" s="45">
        <f t="shared" si="11"/>
        <v>10</v>
      </c>
      <c r="I262" s="46">
        <v>2.35</v>
      </c>
      <c r="J262" s="46">
        <v>1</v>
      </c>
      <c r="K262" s="47">
        <v>2.2000000000000002</v>
      </c>
      <c r="L262" s="51">
        <f t="shared" si="12"/>
        <v>51.7</v>
      </c>
    </row>
    <row r="263" spans="2:12" x14ac:dyDescent="0.2">
      <c r="B263" s="43" t="s">
        <v>16</v>
      </c>
      <c r="C263" s="44" t="str">
        <f>IF(B263="","",VLOOKUP(B263,ORÇAMENTO!$B$7:C258,2,0))</f>
        <v>FORRO E SANCA EM GESSO</v>
      </c>
      <c r="D263" s="44" t="s">
        <v>114</v>
      </c>
      <c r="E263" s="44" t="e">
        <f>IF(D263="","",VLOOKUP(D263,ORÇAMENTO!$B$7:$E$73,2,0))</f>
        <v>#N/A</v>
      </c>
      <c r="F263" s="44" t="s">
        <v>34</v>
      </c>
      <c r="G263" s="44" t="s">
        <v>65</v>
      </c>
      <c r="H263" s="45">
        <f t="shared" si="11"/>
        <v>10</v>
      </c>
      <c r="I263" s="46">
        <v>0.95</v>
      </c>
      <c r="J263" s="46">
        <v>1</v>
      </c>
      <c r="K263" s="47">
        <v>2.2000000000000002</v>
      </c>
      <c r="L263" s="51">
        <f t="shared" si="12"/>
        <v>20.900000000000002</v>
      </c>
    </row>
    <row r="264" spans="2:12" x14ac:dyDescent="0.2">
      <c r="B264" s="43" t="s">
        <v>16</v>
      </c>
      <c r="C264" s="44" t="str">
        <f>IF(B264="","",VLOOKUP(B264,ORÇAMENTO!$B$7:C259,2,0))</f>
        <v>FORRO E SANCA EM GESSO</v>
      </c>
      <c r="D264" s="44" t="s">
        <v>114</v>
      </c>
      <c r="E264" s="44" t="e">
        <f>IF(D264="","",VLOOKUP(D264,ORÇAMENTO!$B$7:$E$73,2,0))</f>
        <v>#N/A</v>
      </c>
      <c r="F264" s="44" t="s">
        <v>34</v>
      </c>
      <c r="G264" s="44" t="s">
        <v>65</v>
      </c>
      <c r="H264" s="45">
        <f t="shared" si="11"/>
        <v>10</v>
      </c>
      <c r="I264" s="46">
        <v>1.6</v>
      </c>
      <c r="J264" s="46">
        <v>1</v>
      </c>
      <c r="K264" s="47">
        <v>2.2000000000000002</v>
      </c>
      <c r="L264" s="51">
        <f t="shared" si="12"/>
        <v>35.200000000000003</v>
      </c>
    </row>
    <row r="265" spans="2:12" x14ac:dyDescent="0.2">
      <c r="B265" s="43" t="s">
        <v>16</v>
      </c>
      <c r="C265" s="44" t="str">
        <f>IF(B265="","",VLOOKUP(B265,ORÇAMENTO!$B$7:C260,2,0))</f>
        <v>FORRO E SANCA EM GESSO</v>
      </c>
      <c r="D265" s="44" t="s">
        <v>114</v>
      </c>
      <c r="E265" s="44" t="e">
        <f>IF(D265="","",VLOOKUP(D265,ORÇAMENTO!$B$7:$E$73,2,0))</f>
        <v>#N/A</v>
      </c>
      <c r="F265" s="44" t="s">
        <v>15</v>
      </c>
      <c r="G265" s="44"/>
      <c r="H265" s="45">
        <v>1</v>
      </c>
      <c r="I265" s="46">
        <v>15.89</v>
      </c>
      <c r="J265" s="46">
        <v>1</v>
      </c>
      <c r="K265" s="47">
        <v>2.15</v>
      </c>
      <c r="L265" s="51">
        <f t="shared" si="12"/>
        <v>34.163499999999999</v>
      </c>
    </row>
    <row r="266" spans="2:12" x14ac:dyDescent="0.2">
      <c r="B266" s="34" t="s">
        <v>17</v>
      </c>
      <c r="C266" s="35" t="s">
        <v>225</v>
      </c>
      <c r="D266" s="35" t="s">
        <v>115</v>
      </c>
      <c r="E266" s="35" t="str">
        <f>IF(D266="","",VLOOKUP(D266,ORÇAMENTO!$B$7:$E$73,2,0))</f>
        <v>Pintura Acrílica c/ emassamento</v>
      </c>
      <c r="F266" s="35" t="s">
        <v>31</v>
      </c>
      <c r="G266" s="35" t="s">
        <v>43</v>
      </c>
      <c r="H266" s="56">
        <v>1</v>
      </c>
      <c r="I266" s="38">
        <v>72.989999999999995</v>
      </c>
      <c r="J266" s="38">
        <v>1</v>
      </c>
      <c r="K266" s="39">
        <v>3</v>
      </c>
      <c r="L266" s="40">
        <f t="shared" si="12"/>
        <v>218.96999999999997</v>
      </c>
    </row>
    <row r="267" spans="2:12" x14ac:dyDescent="0.2">
      <c r="B267" s="34" t="s">
        <v>17</v>
      </c>
      <c r="C267" s="35" t="s">
        <v>225</v>
      </c>
      <c r="D267" s="35" t="s">
        <v>115</v>
      </c>
      <c r="E267" s="35" t="str">
        <f>IF(D267="","",VLOOKUP(D267,ORÇAMENTO!$B$7:$E$73,2,0))</f>
        <v>Pintura Acrílica c/ emassamento</v>
      </c>
      <c r="F267" s="35" t="s">
        <v>28</v>
      </c>
      <c r="G267" s="35" t="s">
        <v>43</v>
      </c>
      <c r="H267" s="56">
        <v>1</v>
      </c>
      <c r="I267" s="38">
        <v>46.44</v>
      </c>
      <c r="J267" s="38">
        <v>1</v>
      </c>
      <c r="K267" s="39">
        <v>3</v>
      </c>
      <c r="L267" s="40">
        <f t="shared" si="12"/>
        <v>139.32</v>
      </c>
    </row>
    <row r="268" spans="2:12" x14ac:dyDescent="0.2">
      <c r="B268" s="34" t="s">
        <v>17</v>
      </c>
      <c r="C268" s="35" t="s">
        <v>225</v>
      </c>
      <c r="D268" s="35" t="s">
        <v>115</v>
      </c>
      <c r="E268" s="35" t="str">
        <f>IF(D268="","",VLOOKUP(D268,ORÇAMENTO!$B$7:$E$73,2,0))</f>
        <v>Pintura Acrílica c/ emassamento</v>
      </c>
      <c r="F268" s="35" t="s">
        <v>28</v>
      </c>
      <c r="G268" s="35" t="s">
        <v>43</v>
      </c>
      <c r="H268" s="56">
        <v>1</v>
      </c>
      <c r="I268" s="38">
        <v>36.85</v>
      </c>
      <c r="J268" s="38">
        <v>1</v>
      </c>
      <c r="K268" s="39">
        <v>1.8</v>
      </c>
      <c r="L268" s="40">
        <f t="shared" si="12"/>
        <v>66.33</v>
      </c>
    </row>
    <row r="269" spans="2:12" x14ac:dyDescent="0.2">
      <c r="B269" s="34" t="s">
        <v>17</v>
      </c>
      <c r="C269" s="35" t="s">
        <v>225</v>
      </c>
      <c r="D269" s="35" t="s">
        <v>115</v>
      </c>
      <c r="E269" s="35" t="str">
        <f>IF(D269="","",VLOOKUP(D269,ORÇAMENTO!$B$7:$E$73,2,0))</f>
        <v>Pintura Acrílica c/ emassamento</v>
      </c>
      <c r="F269" s="35" t="s">
        <v>28</v>
      </c>
      <c r="G269" s="35" t="s">
        <v>43</v>
      </c>
      <c r="H269" s="56">
        <v>1</v>
      </c>
      <c r="I269" s="38">
        <v>9.8699999999999992</v>
      </c>
      <c r="J269" s="38">
        <v>1</v>
      </c>
      <c r="K269" s="39">
        <v>1</v>
      </c>
      <c r="L269" s="40">
        <f t="shared" si="12"/>
        <v>9.8699999999999992</v>
      </c>
    </row>
    <row r="270" spans="2:12" x14ac:dyDescent="0.2">
      <c r="B270" s="34" t="s">
        <v>17</v>
      </c>
      <c r="C270" s="35" t="s">
        <v>225</v>
      </c>
      <c r="D270" s="35" t="s">
        <v>115</v>
      </c>
      <c r="E270" s="35" t="str">
        <f>IF(D270="","",VLOOKUP(D270,ORÇAMENTO!$B$7:$E$73,2,0))</f>
        <v>Pintura Acrílica c/ emassamento</v>
      </c>
      <c r="F270" s="35" t="s">
        <v>29</v>
      </c>
      <c r="G270" s="35" t="s">
        <v>43</v>
      </c>
      <c r="H270" s="56">
        <v>5</v>
      </c>
      <c r="I270" s="38">
        <v>58.6</v>
      </c>
      <c r="J270" s="38">
        <v>1</v>
      </c>
      <c r="K270" s="39">
        <v>2.75</v>
      </c>
      <c r="L270" s="40">
        <f t="shared" si="12"/>
        <v>805.75</v>
      </c>
    </row>
    <row r="271" spans="2:12" x14ac:dyDescent="0.2">
      <c r="B271" s="34" t="s">
        <v>17</v>
      </c>
      <c r="C271" s="35" t="s">
        <v>225</v>
      </c>
      <c r="D271" s="35" t="s">
        <v>115</v>
      </c>
      <c r="E271" s="35" t="str">
        <f>IF(D271="","",VLOOKUP(D271,ORÇAMENTO!$B$7:$E$73,2,0))</f>
        <v>Pintura Acrílica c/ emassamento</v>
      </c>
      <c r="F271" s="35" t="s">
        <v>29</v>
      </c>
      <c r="G271" s="35" t="s">
        <v>43</v>
      </c>
      <c r="H271" s="56">
        <v>5</v>
      </c>
      <c r="I271" s="38">
        <v>22.85</v>
      </c>
      <c r="J271" s="38">
        <v>1</v>
      </c>
      <c r="K271" s="39">
        <v>1</v>
      </c>
      <c r="L271" s="40">
        <f t="shared" si="12"/>
        <v>114.25</v>
      </c>
    </row>
    <row r="272" spans="2:12" x14ac:dyDescent="0.2">
      <c r="B272" s="34" t="s">
        <v>17</v>
      </c>
      <c r="C272" s="35" t="s">
        <v>225</v>
      </c>
      <c r="D272" s="35" t="s">
        <v>115</v>
      </c>
      <c r="E272" s="35" t="str">
        <f>IF(D272="","",VLOOKUP(D272,ORÇAMENTO!$B$7:$E$73,2,0))</f>
        <v>Pintura Acrílica c/ emassamento</v>
      </c>
      <c r="F272" s="35" t="s">
        <v>34</v>
      </c>
      <c r="G272" s="35" t="s">
        <v>43</v>
      </c>
      <c r="H272" s="56">
        <v>1</v>
      </c>
      <c r="I272" s="38">
        <v>58.6</v>
      </c>
      <c r="J272" s="38">
        <v>1</v>
      </c>
      <c r="K272" s="39">
        <v>2.75</v>
      </c>
      <c r="L272" s="40">
        <f t="shared" si="12"/>
        <v>161.15</v>
      </c>
    </row>
    <row r="273" spans="2:12" x14ac:dyDescent="0.2">
      <c r="B273" s="34" t="s">
        <v>17</v>
      </c>
      <c r="C273" s="35" t="s">
        <v>225</v>
      </c>
      <c r="D273" s="35" t="s">
        <v>115</v>
      </c>
      <c r="E273" s="35" t="str">
        <f>IF(D273="","",VLOOKUP(D273,ORÇAMENTO!$B$7:$E$73,2,0))</f>
        <v>Pintura Acrílica c/ emassamento</v>
      </c>
      <c r="F273" s="35" t="s">
        <v>34</v>
      </c>
      <c r="G273" s="35" t="s">
        <v>43</v>
      </c>
      <c r="H273" s="56">
        <v>1</v>
      </c>
      <c r="I273" s="38">
        <v>22.85</v>
      </c>
      <c r="J273" s="38">
        <v>1</v>
      </c>
      <c r="K273" s="39">
        <v>1</v>
      </c>
      <c r="L273" s="40">
        <f t="shared" si="12"/>
        <v>22.85</v>
      </c>
    </row>
    <row r="274" spans="2:12" x14ac:dyDescent="0.2">
      <c r="B274" s="34" t="s">
        <v>17</v>
      </c>
      <c r="C274" s="35" t="s">
        <v>225</v>
      </c>
      <c r="D274" s="35" t="s">
        <v>116</v>
      </c>
      <c r="E274" s="35" t="str">
        <f>IF(D274="","",VLOOKUP(D274,ORÇAMENTO!$B$7:$E$73,2,0))</f>
        <v>Demarcação de vagas</v>
      </c>
      <c r="F274" s="35" t="s">
        <v>31</v>
      </c>
      <c r="G274" s="35" t="s">
        <v>43</v>
      </c>
      <c r="H274" s="56">
        <v>1</v>
      </c>
      <c r="I274" s="38">
        <v>72.989999999999995</v>
      </c>
      <c r="J274" s="38">
        <v>1</v>
      </c>
      <c r="K274" s="39">
        <v>3</v>
      </c>
      <c r="L274" s="40">
        <f t="shared" si="12"/>
        <v>218.96999999999997</v>
      </c>
    </row>
    <row r="275" spans="2:12" x14ac:dyDescent="0.2">
      <c r="B275" s="34" t="s">
        <v>17</v>
      </c>
      <c r="C275" s="35" t="s">
        <v>225</v>
      </c>
      <c r="D275" s="35" t="s">
        <v>116</v>
      </c>
      <c r="E275" s="35" t="str">
        <f>IF(D275="","",VLOOKUP(D275,ORÇAMENTO!$B$7:$E$73,2,0))</f>
        <v>Demarcação de vagas</v>
      </c>
      <c r="F275" s="35" t="s">
        <v>28</v>
      </c>
      <c r="G275" s="35" t="s">
        <v>43</v>
      </c>
      <c r="H275" s="56">
        <v>1</v>
      </c>
      <c r="I275" s="38">
        <v>46.44</v>
      </c>
      <c r="J275" s="38">
        <v>1</v>
      </c>
      <c r="K275" s="39">
        <v>3</v>
      </c>
      <c r="L275" s="40">
        <f t="shared" si="12"/>
        <v>139.32</v>
      </c>
    </row>
    <row r="276" spans="2:12" x14ac:dyDescent="0.2">
      <c r="B276" s="34" t="s">
        <v>17</v>
      </c>
      <c r="C276" s="35" t="s">
        <v>225</v>
      </c>
      <c r="D276" s="35" t="s">
        <v>116</v>
      </c>
      <c r="E276" s="35" t="str">
        <f>IF(D276="","",VLOOKUP(D276,ORÇAMENTO!$B$7:$E$73,2,0))</f>
        <v>Demarcação de vagas</v>
      </c>
      <c r="F276" s="35" t="s">
        <v>28</v>
      </c>
      <c r="G276" s="35" t="s">
        <v>43</v>
      </c>
      <c r="H276" s="56">
        <v>1</v>
      </c>
      <c r="I276" s="38">
        <v>36.85</v>
      </c>
      <c r="J276" s="38">
        <v>1</v>
      </c>
      <c r="K276" s="39">
        <v>1.8</v>
      </c>
      <c r="L276" s="40">
        <f t="shared" si="12"/>
        <v>66.33</v>
      </c>
    </row>
    <row r="277" spans="2:12" x14ac:dyDescent="0.2">
      <c r="B277" s="34" t="s">
        <v>17</v>
      </c>
      <c r="C277" s="35" t="s">
        <v>225</v>
      </c>
      <c r="D277" s="35" t="s">
        <v>116</v>
      </c>
      <c r="E277" s="35" t="str">
        <f>IF(D277="","",VLOOKUP(D277,ORÇAMENTO!$B$7:$E$73,2,0))</f>
        <v>Demarcação de vagas</v>
      </c>
      <c r="F277" s="35" t="s">
        <v>28</v>
      </c>
      <c r="G277" s="35" t="s">
        <v>43</v>
      </c>
      <c r="H277" s="56">
        <v>1</v>
      </c>
      <c r="I277" s="38">
        <v>9.8699999999999992</v>
      </c>
      <c r="J277" s="38">
        <v>1</v>
      </c>
      <c r="K277" s="39">
        <v>1</v>
      </c>
      <c r="L277" s="40">
        <f t="shared" si="12"/>
        <v>9.8699999999999992</v>
      </c>
    </row>
    <row r="278" spans="2:12" x14ac:dyDescent="0.2">
      <c r="B278" s="34" t="s">
        <v>17</v>
      </c>
      <c r="C278" s="35" t="s">
        <v>225</v>
      </c>
      <c r="D278" s="35" t="s">
        <v>116</v>
      </c>
      <c r="E278" s="35" t="str">
        <f>IF(D278="","",VLOOKUP(D278,ORÇAMENTO!$B$7:$E$73,2,0))</f>
        <v>Demarcação de vagas</v>
      </c>
      <c r="F278" s="35" t="s">
        <v>29</v>
      </c>
      <c r="G278" s="35" t="s">
        <v>43</v>
      </c>
      <c r="H278" s="56">
        <v>5</v>
      </c>
      <c r="I278" s="38">
        <v>58.6</v>
      </c>
      <c r="J278" s="38">
        <v>1</v>
      </c>
      <c r="K278" s="39">
        <v>2.75</v>
      </c>
      <c r="L278" s="40">
        <f t="shared" si="12"/>
        <v>805.75</v>
      </c>
    </row>
    <row r="279" spans="2:12" x14ac:dyDescent="0.2">
      <c r="B279" s="34" t="s">
        <v>17</v>
      </c>
      <c r="C279" s="35" t="s">
        <v>225</v>
      </c>
      <c r="D279" s="35" t="s">
        <v>116</v>
      </c>
      <c r="E279" s="35" t="str">
        <f>IF(D279="","",VLOOKUP(D279,ORÇAMENTO!$B$7:$E$73,2,0))</f>
        <v>Demarcação de vagas</v>
      </c>
      <c r="F279" s="35" t="s">
        <v>29</v>
      </c>
      <c r="G279" s="35" t="s">
        <v>43</v>
      </c>
      <c r="H279" s="56">
        <v>5</v>
      </c>
      <c r="I279" s="38">
        <v>22.85</v>
      </c>
      <c r="J279" s="38">
        <v>1</v>
      </c>
      <c r="K279" s="39">
        <v>1</v>
      </c>
      <c r="L279" s="40">
        <f t="shared" si="12"/>
        <v>114.25</v>
      </c>
    </row>
    <row r="280" spans="2:12" x14ac:dyDescent="0.2">
      <c r="B280" s="34" t="s">
        <v>17</v>
      </c>
      <c r="C280" s="35" t="s">
        <v>225</v>
      </c>
      <c r="D280" s="35" t="s">
        <v>116</v>
      </c>
      <c r="E280" s="35" t="str">
        <f>IF(D280="","",VLOOKUP(D280,ORÇAMENTO!$B$7:$E$73,2,0))</f>
        <v>Demarcação de vagas</v>
      </c>
      <c r="F280" s="35" t="s">
        <v>34</v>
      </c>
      <c r="G280" s="35" t="s">
        <v>43</v>
      </c>
      <c r="H280" s="56">
        <v>2</v>
      </c>
      <c r="I280" s="38">
        <v>58.6</v>
      </c>
      <c r="J280" s="38">
        <v>1</v>
      </c>
      <c r="K280" s="39">
        <v>2.8</v>
      </c>
      <c r="L280" s="40">
        <f t="shared" ref="L280:L302" si="13">H280*I280*J280*K280</f>
        <v>328.15999999999997</v>
      </c>
    </row>
    <row r="281" spans="2:12" x14ac:dyDescent="0.2">
      <c r="B281" s="34" t="s">
        <v>17</v>
      </c>
      <c r="C281" s="35" t="s">
        <v>225</v>
      </c>
      <c r="D281" s="35" t="s">
        <v>116</v>
      </c>
      <c r="E281" s="35" t="str">
        <f>IF(D281="","",VLOOKUP(D281,ORÇAMENTO!$B$7:$E$73,2,0))</f>
        <v>Demarcação de vagas</v>
      </c>
      <c r="F281" s="35" t="s">
        <v>34</v>
      </c>
      <c r="G281" s="35" t="s">
        <v>43</v>
      </c>
      <c r="H281" s="56">
        <v>1</v>
      </c>
      <c r="I281" s="38">
        <v>22.85</v>
      </c>
      <c r="J281" s="38">
        <v>1</v>
      </c>
      <c r="K281" s="39">
        <v>2.8</v>
      </c>
      <c r="L281" s="40">
        <f t="shared" si="13"/>
        <v>63.98</v>
      </c>
    </row>
    <row r="282" spans="2:12" x14ac:dyDescent="0.2">
      <c r="B282" s="34" t="s">
        <v>17</v>
      </c>
      <c r="C282" s="35" t="str">
        <f>IF(B282="","",VLOOKUP(B282,ORÇAMENTO!$B$7:C172,2,0))</f>
        <v>PINTURA</v>
      </c>
      <c r="D282" s="35" t="s">
        <v>117</v>
      </c>
      <c r="E282" s="35" t="e">
        <f>IF(D282="","",VLOOKUP(D282,ORÇAMENTO!$B$7:$E$73,2,0))</f>
        <v>#N/A</v>
      </c>
      <c r="F282" s="35" t="s">
        <v>31</v>
      </c>
      <c r="G282" s="35" t="s">
        <v>43</v>
      </c>
      <c r="H282" s="56">
        <v>1</v>
      </c>
      <c r="I282" s="38">
        <v>72.989999999999995</v>
      </c>
      <c r="J282" s="38">
        <v>1</v>
      </c>
      <c r="K282" s="39">
        <v>3</v>
      </c>
      <c r="L282" s="40">
        <f t="shared" si="13"/>
        <v>218.96999999999997</v>
      </c>
    </row>
    <row r="283" spans="2:12" x14ac:dyDescent="0.2">
      <c r="B283" s="34" t="s">
        <v>17</v>
      </c>
      <c r="C283" s="35" t="str">
        <f>IF(B283="","",VLOOKUP(B283,ORÇAMENTO!$B$7:C180,2,0))</f>
        <v>PINTURA</v>
      </c>
      <c r="D283" s="35" t="s">
        <v>117</v>
      </c>
      <c r="E283" s="35" t="e">
        <f>IF(D283="","",VLOOKUP(D283,ORÇAMENTO!$B$7:$E$73,2,0))</f>
        <v>#N/A</v>
      </c>
      <c r="F283" s="35" t="s">
        <v>28</v>
      </c>
      <c r="G283" s="35" t="s">
        <v>43</v>
      </c>
      <c r="H283" s="56">
        <v>1</v>
      </c>
      <c r="I283" s="38">
        <v>46.44</v>
      </c>
      <c r="J283" s="38">
        <v>1</v>
      </c>
      <c r="K283" s="39">
        <v>3</v>
      </c>
      <c r="L283" s="40">
        <f t="shared" si="13"/>
        <v>139.32</v>
      </c>
    </row>
    <row r="284" spans="2:12" x14ac:dyDescent="0.2">
      <c r="B284" s="34" t="s">
        <v>17</v>
      </c>
      <c r="C284" s="35" t="str">
        <f>IF(B284="","",VLOOKUP(B284,ORÇAMENTO!$B$7:C183,2,0))</f>
        <v>PINTURA</v>
      </c>
      <c r="D284" s="35" t="s">
        <v>117</v>
      </c>
      <c r="E284" s="35" t="e">
        <f>IF(D284="","",VLOOKUP(D284,ORÇAMENTO!$B$7:$E$73,2,0))</f>
        <v>#N/A</v>
      </c>
      <c r="F284" s="35" t="s">
        <v>29</v>
      </c>
      <c r="G284" s="35" t="s">
        <v>43</v>
      </c>
      <c r="H284" s="56">
        <f>5*2</f>
        <v>10</v>
      </c>
      <c r="I284" s="38">
        <f>13.7+2</f>
        <v>15.7</v>
      </c>
      <c r="J284" s="38">
        <v>1</v>
      </c>
      <c r="K284" s="39">
        <v>2.8</v>
      </c>
      <c r="L284" s="40">
        <f t="shared" si="13"/>
        <v>439.59999999999997</v>
      </c>
    </row>
    <row r="285" spans="2:12" x14ac:dyDescent="0.2">
      <c r="B285" s="34" t="s">
        <v>17</v>
      </c>
      <c r="C285" s="35" t="str">
        <f>IF(B285="","",VLOOKUP(B285,ORÇAMENTO!$B$7:C184,2,0))</f>
        <v>PINTURA</v>
      </c>
      <c r="D285" s="35" t="s">
        <v>117</v>
      </c>
      <c r="E285" s="35" t="e">
        <f>IF(D285="","",VLOOKUP(D285,ORÇAMENTO!$B$7:$E$73,2,0))</f>
        <v>#N/A</v>
      </c>
      <c r="F285" s="35" t="s">
        <v>29</v>
      </c>
      <c r="G285" s="35" t="s">
        <v>43</v>
      </c>
      <c r="H285" s="56">
        <f>5*1</f>
        <v>5</v>
      </c>
      <c r="I285" s="38">
        <v>11.9</v>
      </c>
      <c r="J285" s="38">
        <v>1</v>
      </c>
      <c r="K285" s="39">
        <v>2.8</v>
      </c>
      <c r="L285" s="40">
        <f t="shared" si="13"/>
        <v>166.6</v>
      </c>
    </row>
    <row r="286" spans="2:12" x14ac:dyDescent="0.2">
      <c r="B286" s="34" t="s">
        <v>17</v>
      </c>
      <c r="C286" s="35" t="str">
        <f>IF(B286="","",VLOOKUP(B286,ORÇAMENTO!$B$7:C199,2,0))</f>
        <v>PINTURA</v>
      </c>
      <c r="D286" s="35" t="s">
        <v>117</v>
      </c>
      <c r="E286" s="35" t="e">
        <f>IF(D286="","",VLOOKUP(D286,ORÇAMENTO!$B$7:$E$73,2,0))</f>
        <v>#N/A</v>
      </c>
      <c r="F286" s="35" t="s">
        <v>34</v>
      </c>
      <c r="G286" s="35" t="s">
        <v>43</v>
      </c>
      <c r="H286" s="56">
        <v>2</v>
      </c>
      <c r="I286" s="38">
        <f>13.7+2</f>
        <v>15.7</v>
      </c>
      <c r="J286" s="38">
        <v>1</v>
      </c>
      <c r="K286" s="39">
        <v>2.8</v>
      </c>
      <c r="L286" s="40">
        <f t="shared" si="13"/>
        <v>87.919999999999987</v>
      </c>
    </row>
    <row r="287" spans="2:12" x14ac:dyDescent="0.2">
      <c r="B287" s="34" t="s">
        <v>17</v>
      </c>
      <c r="C287" s="35" t="str">
        <f>IF(B287="","",VLOOKUP(B287,ORÇAMENTO!$B$7:C200,2,0))</f>
        <v>PINTURA</v>
      </c>
      <c r="D287" s="35" t="s">
        <v>117</v>
      </c>
      <c r="E287" s="35" t="e">
        <f>IF(D287="","",VLOOKUP(D287,ORÇAMENTO!$B$7:$E$73,2,0))</f>
        <v>#N/A</v>
      </c>
      <c r="F287" s="35" t="s">
        <v>34</v>
      </c>
      <c r="G287" s="35" t="s">
        <v>43</v>
      </c>
      <c r="H287" s="56">
        <v>1</v>
      </c>
      <c r="I287" s="38">
        <v>11.9</v>
      </c>
      <c r="J287" s="38">
        <v>1</v>
      </c>
      <c r="K287" s="39">
        <v>2.8</v>
      </c>
      <c r="L287" s="40">
        <f t="shared" si="13"/>
        <v>33.32</v>
      </c>
    </row>
    <row r="288" spans="2:12" x14ac:dyDescent="0.2">
      <c r="B288" s="34" t="s">
        <v>17</v>
      </c>
      <c r="C288" s="35" t="str">
        <f>IF(B288="","",VLOOKUP(B288,ORÇAMENTO!$B$7:C230,2,0))</f>
        <v>PINTURA</v>
      </c>
      <c r="D288" s="35" t="s">
        <v>117</v>
      </c>
      <c r="E288" s="35" t="e">
        <f>IF(D288="","",VLOOKUP(D288,ORÇAMENTO!$B$7:$E$73,2,0))</f>
        <v>#N/A</v>
      </c>
      <c r="F288" s="35" t="s">
        <v>28</v>
      </c>
      <c r="G288" s="35" t="s">
        <v>43</v>
      </c>
      <c r="H288" s="56">
        <v>1</v>
      </c>
      <c r="I288" s="38">
        <v>36.85</v>
      </c>
      <c r="J288" s="38">
        <v>1</v>
      </c>
      <c r="K288" s="39">
        <v>1.8</v>
      </c>
      <c r="L288" s="40">
        <f t="shared" si="13"/>
        <v>66.33</v>
      </c>
    </row>
    <row r="289" spans="2:12" x14ac:dyDescent="0.2">
      <c r="B289" s="34" t="s">
        <v>17</v>
      </c>
      <c r="C289" s="35" t="str">
        <f>IF(B289="","",VLOOKUP(B289,ORÇAMENTO!$B$7:C231,2,0))</f>
        <v>PINTURA</v>
      </c>
      <c r="D289" s="35" t="s">
        <v>117</v>
      </c>
      <c r="E289" s="35" t="e">
        <f>IF(D289="","",VLOOKUP(D289,ORÇAMENTO!$B$7:$E$73,2,0))</f>
        <v>#N/A</v>
      </c>
      <c r="F289" s="35" t="s">
        <v>28</v>
      </c>
      <c r="G289" s="35" t="s">
        <v>43</v>
      </c>
      <c r="H289" s="56">
        <v>1</v>
      </c>
      <c r="I289" s="38">
        <v>9.8699999999999992</v>
      </c>
      <c r="J289" s="38">
        <v>1</v>
      </c>
      <c r="K289" s="39">
        <v>1</v>
      </c>
      <c r="L289" s="40">
        <f t="shared" si="13"/>
        <v>9.8699999999999992</v>
      </c>
    </row>
    <row r="290" spans="2:12" x14ac:dyDescent="0.2">
      <c r="B290" s="43" t="s">
        <v>18</v>
      </c>
      <c r="C290" s="44" t="e">
        <f>IF(B290="","",VLOOKUP(B290,ORÇAMENTO!$B$7:C327,2,0))</f>
        <v>#N/A</v>
      </c>
      <c r="D290" s="44" t="s">
        <v>118</v>
      </c>
      <c r="E290" s="44" t="e">
        <f>IF(D290="","",VLOOKUP(D290,ORÇAMENTO!$B$7:$E$73,2,0))</f>
        <v>#N/A</v>
      </c>
      <c r="F290" s="44" t="s">
        <v>31</v>
      </c>
      <c r="G290" s="57"/>
      <c r="H290" s="45">
        <v>1</v>
      </c>
      <c r="I290" s="46">
        <v>1</v>
      </c>
      <c r="J290" s="46">
        <v>1</v>
      </c>
      <c r="K290" s="47">
        <v>14.17</v>
      </c>
      <c r="L290" s="51">
        <f t="shared" si="13"/>
        <v>14.17</v>
      </c>
    </row>
    <row r="291" spans="2:12" x14ac:dyDescent="0.2">
      <c r="B291" s="43" t="s">
        <v>18</v>
      </c>
      <c r="C291" s="44" t="e">
        <f>IF(B291="","",VLOOKUP(B291,ORÇAMENTO!$B$7:C328,2,0))</f>
        <v>#N/A</v>
      </c>
      <c r="D291" s="44" t="s">
        <v>118</v>
      </c>
      <c r="E291" s="44" t="e">
        <f>IF(D291="","",VLOOKUP(D291,ORÇAMENTO!$B$7:$E$73,2,0))</f>
        <v>#N/A</v>
      </c>
      <c r="F291" s="44" t="s">
        <v>28</v>
      </c>
      <c r="G291" s="57"/>
      <c r="H291" s="45">
        <v>1</v>
      </c>
      <c r="I291" s="46">
        <v>1</v>
      </c>
      <c r="J291" s="46">
        <v>1</v>
      </c>
      <c r="K291" s="47">
        <v>151.62</v>
      </c>
      <c r="L291" s="51">
        <f t="shared" si="13"/>
        <v>151.62</v>
      </c>
    </row>
    <row r="292" spans="2:12" x14ac:dyDescent="0.2">
      <c r="B292" s="43" t="s">
        <v>18</v>
      </c>
      <c r="C292" s="44" t="e">
        <f>IF(B292="","",VLOOKUP(B292,ORÇAMENTO!$B$7:C329,2,0))</f>
        <v>#N/A</v>
      </c>
      <c r="D292" s="44" t="s">
        <v>118</v>
      </c>
      <c r="E292" s="44" t="e">
        <f>IF(D292="","",VLOOKUP(D292,ORÇAMENTO!$B$7:$E$73,2,0))</f>
        <v>#N/A</v>
      </c>
      <c r="F292" s="44" t="s">
        <v>29</v>
      </c>
      <c r="G292" s="57"/>
      <c r="H292" s="45">
        <v>5</v>
      </c>
      <c r="I292" s="46">
        <v>1</v>
      </c>
      <c r="J292" s="46">
        <v>1</v>
      </c>
      <c r="K292" s="47">
        <v>158.78</v>
      </c>
      <c r="L292" s="51">
        <f t="shared" si="13"/>
        <v>793.9</v>
      </c>
    </row>
    <row r="293" spans="2:12" x14ac:dyDescent="0.2">
      <c r="B293" s="43" t="s">
        <v>18</v>
      </c>
      <c r="C293" s="44" t="e">
        <f>IF(B293="","",VLOOKUP(B293,ORÇAMENTO!$B$7:C330,2,0))</f>
        <v>#N/A</v>
      </c>
      <c r="D293" s="44" t="s">
        <v>118</v>
      </c>
      <c r="E293" s="44" t="e">
        <f>IF(D293="","",VLOOKUP(D293,ORÇAMENTO!$B$7:$E$73,2,0))</f>
        <v>#N/A</v>
      </c>
      <c r="F293" s="44" t="s">
        <v>34</v>
      </c>
      <c r="G293" s="57"/>
      <c r="H293" s="45">
        <v>1</v>
      </c>
      <c r="I293" s="46">
        <v>1</v>
      </c>
      <c r="J293" s="46">
        <v>1</v>
      </c>
      <c r="K293" s="47">
        <v>158.22999999999999</v>
      </c>
      <c r="L293" s="51">
        <f t="shared" si="13"/>
        <v>158.22999999999999</v>
      </c>
    </row>
    <row r="294" spans="2:12" x14ac:dyDescent="0.2">
      <c r="B294" s="43" t="s">
        <v>18</v>
      </c>
      <c r="C294" s="44" t="e">
        <f>IF(B294="","",VLOOKUP(B294,ORÇAMENTO!$B$7:C331,2,0))</f>
        <v>#N/A</v>
      </c>
      <c r="D294" s="44" t="s">
        <v>118</v>
      </c>
      <c r="E294" s="44" t="e">
        <f>IF(D294="","",VLOOKUP(D294,ORÇAMENTO!$B$7:$E$73,2,0))</f>
        <v>#N/A</v>
      </c>
      <c r="F294" s="44" t="s">
        <v>15</v>
      </c>
      <c r="G294" s="57"/>
      <c r="H294" s="45">
        <v>1</v>
      </c>
      <c r="I294" s="46">
        <v>1</v>
      </c>
      <c r="J294" s="46">
        <v>1</v>
      </c>
      <c r="K294" s="47">
        <v>9.5500000000000007</v>
      </c>
      <c r="L294" s="51">
        <f t="shared" si="13"/>
        <v>9.5500000000000007</v>
      </c>
    </row>
    <row r="295" spans="2:12" x14ac:dyDescent="0.2">
      <c r="B295" s="34" t="s">
        <v>19</v>
      </c>
      <c r="C295" s="35" t="e">
        <f>IF(B295="","",VLOOKUP(B295,ORÇAMENTO!$B$7:C341,2,0))</f>
        <v>#N/A</v>
      </c>
      <c r="D295" s="35" t="s">
        <v>119</v>
      </c>
      <c r="E295" s="35" t="e">
        <f>IF(D295="","",VLOOKUP(D295,ORÇAMENTO!$B$7:$E$73,2,0))</f>
        <v>#N/A</v>
      </c>
      <c r="F295" s="35" t="s">
        <v>31</v>
      </c>
      <c r="G295" s="35" t="s">
        <v>242</v>
      </c>
      <c r="H295" s="56">
        <v>2</v>
      </c>
      <c r="I295" s="38">
        <v>1</v>
      </c>
      <c r="J295" s="38">
        <v>1</v>
      </c>
      <c r="K295" s="39">
        <v>1</v>
      </c>
      <c r="L295" s="62">
        <f t="shared" si="13"/>
        <v>2</v>
      </c>
    </row>
    <row r="296" spans="2:12" x14ac:dyDescent="0.2">
      <c r="B296" s="34" t="s">
        <v>19</v>
      </c>
      <c r="C296" s="35" t="e">
        <f>IF(B296="","",VLOOKUP(B296,ORÇAMENTO!$B$7:C344,2,0))</f>
        <v>#N/A</v>
      </c>
      <c r="D296" s="35" t="s">
        <v>119</v>
      </c>
      <c r="E296" s="35" t="e">
        <f>IF(D296="","",VLOOKUP(D296,ORÇAMENTO!$B$7:$E$73,2,0))</f>
        <v>#N/A</v>
      </c>
      <c r="F296" s="35" t="s">
        <v>28</v>
      </c>
      <c r="G296" s="35" t="s">
        <v>242</v>
      </c>
      <c r="H296" s="56">
        <v>2</v>
      </c>
      <c r="I296" s="38">
        <v>1</v>
      </c>
      <c r="J296" s="38">
        <v>1</v>
      </c>
      <c r="K296" s="39">
        <v>1</v>
      </c>
      <c r="L296" s="62">
        <f t="shared" si="13"/>
        <v>2</v>
      </c>
    </row>
    <row r="297" spans="2:12" x14ac:dyDescent="0.2">
      <c r="B297" s="34" t="s">
        <v>19</v>
      </c>
      <c r="C297" s="35" t="e">
        <f>IF(B297="","",VLOOKUP(B297,ORÇAMENTO!$B$7:C355,2,0))</f>
        <v>#N/A</v>
      </c>
      <c r="D297" s="35" t="s">
        <v>119</v>
      </c>
      <c r="E297" s="35" t="e">
        <f>IF(D297="","",VLOOKUP(D297,ORÇAMENTO!$B$7:$E$73,2,0))</f>
        <v>#N/A</v>
      </c>
      <c r="F297" s="35" t="s">
        <v>29</v>
      </c>
      <c r="G297" s="35" t="s">
        <v>242</v>
      </c>
      <c r="H297" s="56">
        <f>2*5</f>
        <v>10</v>
      </c>
      <c r="I297" s="38">
        <v>1</v>
      </c>
      <c r="J297" s="38">
        <v>1</v>
      </c>
      <c r="K297" s="39">
        <v>1</v>
      </c>
      <c r="L297" s="62">
        <f t="shared" si="13"/>
        <v>10</v>
      </c>
    </row>
    <row r="298" spans="2:12" x14ac:dyDescent="0.2">
      <c r="B298" s="34" t="s">
        <v>19</v>
      </c>
      <c r="C298" s="35" t="e">
        <f>IF(B298="","",VLOOKUP(B298,ORÇAMENTO!$B$7:C370,2,0))</f>
        <v>#N/A</v>
      </c>
      <c r="D298" s="35" t="s">
        <v>119</v>
      </c>
      <c r="E298" s="35" t="e">
        <f>IF(D298="","",VLOOKUP(D298,ORÇAMENTO!$B$7:$E$73,2,0))</f>
        <v>#N/A</v>
      </c>
      <c r="F298" s="35" t="s">
        <v>34</v>
      </c>
      <c r="G298" s="35" t="s">
        <v>242</v>
      </c>
      <c r="H298" s="56">
        <f>2</f>
        <v>2</v>
      </c>
      <c r="I298" s="38">
        <v>1</v>
      </c>
      <c r="J298" s="38">
        <v>1</v>
      </c>
      <c r="K298" s="39">
        <v>1</v>
      </c>
      <c r="L298" s="62">
        <f t="shared" si="13"/>
        <v>2</v>
      </c>
    </row>
    <row r="299" spans="2:12" x14ac:dyDescent="0.2">
      <c r="B299" s="34" t="s">
        <v>19</v>
      </c>
      <c r="C299" s="35" t="e">
        <f>IF(B299="","",VLOOKUP(B299,ORÇAMENTO!$B$7:C383,2,0))</f>
        <v>#N/A</v>
      </c>
      <c r="D299" s="35" t="s">
        <v>119</v>
      </c>
      <c r="E299" s="35" t="e">
        <f>IF(D299="","",VLOOKUP(D299,ORÇAMENTO!$B$7:$E$73,2,0))</f>
        <v>#N/A</v>
      </c>
      <c r="F299" s="35" t="s">
        <v>15</v>
      </c>
      <c r="G299" s="35" t="s">
        <v>242</v>
      </c>
      <c r="H299" s="56">
        <v>1</v>
      </c>
      <c r="I299" s="38">
        <v>1</v>
      </c>
      <c r="J299" s="38">
        <v>1</v>
      </c>
      <c r="K299" s="39">
        <v>1</v>
      </c>
      <c r="L299" s="62">
        <f t="shared" si="13"/>
        <v>1</v>
      </c>
    </row>
    <row r="300" spans="2:12" x14ac:dyDescent="0.2">
      <c r="B300" s="34" t="s">
        <v>19</v>
      </c>
      <c r="C300" s="35" t="e">
        <f>IF(B300="","",VLOOKUP(B300,ORÇAMENTO!$B$7:C390,2,0))</f>
        <v>#N/A</v>
      </c>
      <c r="D300" s="35" t="s">
        <v>119</v>
      </c>
      <c r="E300" s="35" t="e">
        <f>IF(D300="","",VLOOKUP(D300,ORÇAMENTO!$B$7:$E$73,2,0))</f>
        <v>#N/A</v>
      </c>
      <c r="F300" s="35" t="s">
        <v>30</v>
      </c>
      <c r="G300" s="35" t="s">
        <v>71</v>
      </c>
      <c r="H300" s="56">
        <v>2</v>
      </c>
      <c r="I300" s="38">
        <v>1</v>
      </c>
      <c r="J300" s="38">
        <v>1</v>
      </c>
      <c r="K300" s="39">
        <v>1</v>
      </c>
      <c r="L300" s="62">
        <f t="shared" si="13"/>
        <v>2</v>
      </c>
    </row>
    <row r="301" spans="2:12" x14ac:dyDescent="0.2">
      <c r="B301" s="34" t="s">
        <v>19</v>
      </c>
      <c r="C301" s="35" t="e">
        <f>IF(B301="","",VLOOKUP(B301,ORÇAMENTO!$B$7:C398,2,0))</f>
        <v>#N/A</v>
      </c>
      <c r="D301" s="35" t="s">
        <v>120</v>
      </c>
      <c r="E301" s="35" t="e">
        <f>IF(D301="","",VLOOKUP(D301,ORÇAMENTO!$B$7:$E$73,2,0))</f>
        <v>#N/A</v>
      </c>
      <c r="F301" s="60"/>
      <c r="G301" s="60"/>
      <c r="H301" s="56">
        <v>1</v>
      </c>
      <c r="I301" s="38">
        <v>5</v>
      </c>
      <c r="J301" s="38">
        <v>1</v>
      </c>
      <c r="K301" s="39">
        <v>2.1</v>
      </c>
      <c r="L301" s="40">
        <f t="shared" si="13"/>
        <v>10.5</v>
      </c>
    </row>
    <row r="302" spans="2:12" x14ac:dyDescent="0.2">
      <c r="B302" s="34" t="s">
        <v>19</v>
      </c>
      <c r="C302" s="35" t="e">
        <f>IF(B302="","",VLOOKUP(B302,ORÇAMENTO!$B$7:C399,2,0))</f>
        <v>#N/A</v>
      </c>
      <c r="D302" s="35" t="s">
        <v>121</v>
      </c>
      <c r="E302" s="35" t="e">
        <f>IF(D302="","",VLOOKUP(D302,ORÇAMENTO!$B$7:$E$73,2,0))</f>
        <v>#N/A</v>
      </c>
      <c r="F302" s="60"/>
      <c r="G302" s="60"/>
      <c r="H302" s="56">
        <v>1</v>
      </c>
      <c r="I302" s="38">
        <v>1</v>
      </c>
      <c r="J302" s="38">
        <v>1</v>
      </c>
      <c r="K302" s="39">
        <v>1</v>
      </c>
      <c r="L302" s="62">
        <f t="shared" si="13"/>
        <v>1</v>
      </c>
    </row>
    <row r="303" spans="2:12" x14ac:dyDescent="0.2">
      <c r="B303" s="43" t="s">
        <v>24</v>
      </c>
      <c r="C303" s="44" t="e">
        <f>IF(B303="","",VLOOKUP(B303,ORÇAMENTO!$B$7:C161,2,0))</f>
        <v>#N/A</v>
      </c>
      <c r="D303" s="44" t="s">
        <v>122</v>
      </c>
      <c r="E303" s="44" t="e">
        <f>IF(D303="","",VLOOKUP(D303,ORÇAMENTO!$B$7:$E$73,2,0))</f>
        <v>#N/A</v>
      </c>
      <c r="F303" s="44" t="s">
        <v>232</v>
      </c>
      <c r="G303" s="44" t="s">
        <v>40</v>
      </c>
      <c r="H303" s="45">
        <v>1</v>
      </c>
      <c r="I303" s="46"/>
      <c r="J303" s="46">
        <v>30.36</v>
      </c>
      <c r="K303" s="47">
        <v>2.8</v>
      </c>
      <c r="L303" s="51">
        <f>J303*K303</f>
        <v>85.007999999999996</v>
      </c>
    </row>
    <row r="304" spans="2:12" x14ac:dyDescent="0.2">
      <c r="B304" s="43" t="s">
        <v>24</v>
      </c>
      <c r="C304" s="44" t="e">
        <f>IF(B304="","",VLOOKUP(B304,ORÇAMENTO!$B$7:C162,2,0))</f>
        <v>#N/A</v>
      </c>
      <c r="D304" s="44" t="s">
        <v>122</v>
      </c>
      <c r="E304" s="44" t="e">
        <f>IF(D304="","",VLOOKUP(D304,ORÇAMENTO!$B$7:$E$73,2,0))</f>
        <v>#N/A</v>
      </c>
      <c r="F304" s="44" t="s">
        <v>232</v>
      </c>
      <c r="G304" s="44" t="s">
        <v>40</v>
      </c>
      <c r="H304" s="45">
        <v>1</v>
      </c>
      <c r="I304" s="46"/>
      <c r="J304" s="46">
        <v>12.93</v>
      </c>
      <c r="K304" s="47">
        <v>1</v>
      </c>
      <c r="L304" s="51">
        <f>J304*K304</f>
        <v>12.93</v>
      </c>
    </row>
    <row r="305" spans="2:12" x14ac:dyDescent="0.2">
      <c r="B305" s="43" t="s">
        <v>24</v>
      </c>
      <c r="C305" s="44" t="e">
        <f>IF(B305="","",VLOOKUP(B305,ORÇAMENTO!$B$7:C163,2,0))</f>
        <v>#N/A</v>
      </c>
      <c r="D305" s="44" t="s">
        <v>122</v>
      </c>
      <c r="E305" s="44" t="e">
        <f>IF(D305="","",VLOOKUP(D305,ORÇAMENTO!$B$7:$E$73,2,0))</f>
        <v>#N/A</v>
      </c>
      <c r="F305" s="44" t="s">
        <v>232</v>
      </c>
      <c r="G305" s="44" t="s">
        <v>40</v>
      </c>
      <c r="H305" s="45">
        <v>1</v>
      </c>
      <c r="I305" s="46"/>
      <c r="J305" s="46">
        <v>1.75</v>
      </c>
      <c r="K305" s="47">
        <v>0.1</v>
      </c>
      <c r="L305" s="51">
        <f>J305*K305</f>
        <v>0.17500000000000002</v>
      </c>
    </row>
    <row r="306" spans="2:12" x14ac:dyDescent="0.2">
      <c r="B306" s="43" t="s">
        <v>24</v>
      </c>
      <c r="C306" s="44" t="e">
        <f>IF(B306="","",VLOOKUP(B306,ORÇAMENTO!$B$7:C168,2,0))</f>
        <v>#N/A</v>
      </c>
      <c r="D306" s="44" t="s">
        <v>122</v>
      </c>
      <c r="E306" s="44" t="e">
        <f>IF(D306="","",VLOOKUP(D306,ORÇAMENTO!$B$7:$E$73,2,0))</f>
        <v>#N/A</v>
      </c>
      <c r="F306" s="44" t="s">
        <v>31</v>
      </c>
      <c r="G306" s="44" t="s">
        <v>40</v>
      </c>
      <c r="H306" s="45">
        <v>1</v>
      </c>
      <c r="I306" s="46">
        <v>84.25</v>
      </c>
      <c r="J306" s="46">
        <v>1</v>
      </c>
      <c r="K306" s="47">
        <v>2.8</v>
      </c>
      <c r="L306" s="51">
        <f t="shared" ref="L306:L312" si="14">H306*I306*J306*K306</f>
        <v>235.89999999999998</v>
      </c>
    </row>
    <row r="307" spans="2:12" x14ac:dyDescent="0.2">
      <c r="B307" s="43" t="s">
        <v>24</v>
      </c>
      <c r="C307" s="44" t="e">
        <f>IF(B307="","",VLOOKUP(B307,ORÇAMENTO!$B$7:C170,2,0))</f>
        <v>#N/A</v>
      </c>
      <c r="D307" s="44" t="s">
        <v>122</v>
      </c>
      <c r="E307" s="44" t="e">
        <f>IF(D307="","",VLOOKUP(D307,ORÇAMENTO!$B$7:$E$73,2,0))</f>
        <v>#N/A</v>
      </c>
      <c r="F307" s="44" t="s">
        <v>31</v>
      </c>
      <c r="G307" s="44" t="s">
        <v>42</v>
      </c>
      <c r="H307" s="45">
        <v>2</v>
      </c>
      <c r="I307" s="46">
        <v>23</v>
      </c>
      <c r="J307" s="46">
        <v>1</v>
      </c>
      <c r="K307" s="47">
        <v>2.8</v>
      </c>
      <c r="L307" s="51">
        <f t="shared" si="14"/>
        <v>128.79999999999998</v>
      </c>
    </row>
    <row r="308" spans="2:12" x14ac:dyDescent="0.2">
      <c r="B308" s="43" t="s">
        <v>24</v>
      </c>
      <c r="C308" s="44" t="e">
        <f>IF(B308="","",VLOOKUP(B308,ORÇAMENTO!$B$7:C171,2,0))</f>
        <v>#N/A</v>
      </c>
      <c r="D308" s="44" t="s">
        <v>122</v>
      </c>
      <c r="E308" s="44" t="e">
        <f>IF(D308="","",VLOOKUP(D308,ORÇAMENTO!$B$7:$E$73,2,0))</f>
        <v>#N/A</v>
      </c>
      <c r="F308" s="44" t="s">
        <v>31</v>
      </c>
      <c r="G308" s="44" t="s">
        <v>41</v>
      </c>
      <c r="H308" s="45">
        <v>2</v>
      </c>
      <c r="I308" s="46">
        <v>6.3</v>
      </c>
      <c r="J308" s="46">
        <v>1</v>
      </c>
      <c r="K308" s="47">
        <v>3</v>
      </c>
      <c r="L308" s="51">
        <f t="shared" si="14"/>
        <v>37.799999999999997</v>
      </c>
    </row>
    <row r="309" spans="2:12" x14ac:dyDescent="0.2">
      <c r="B309" s="43" t="s">
        <v>24</v>
      </c>
      <c r="C309" s="44" t="e">
        <f>IF(B309="","",VLOOKUP(B309,ORÇAMENTO!$B$7:C175,2,0))</f>
        <v>#N/A</v>
      </c>
      <c r="D309" s="44" t="s">
        <v>122</v>
      </c>
      <c r="E309" s="44" t="e">
        <f>IF(D309="","",VLOOKUP(D309,ORÇAMENTO!$B$7:$E$73,2,0))</f>
        <v>#N/A</v>
      </c>
      <c r="F309" s="44" t="s">
        <v>28</v>
      </c>
      <c r="G309" s="44" t="s">
        <v>44</v>
      </c>
      <c r="H309" s="45">
        <v>1</v>
      </c>
      <c r="I309" s="46">
        <v>190.48</v>
      </c>
      <c r="J309" s="46">
        <v>1</v>
      </c>
      <c r="K309" s="47">
        <v>2.8</v>
      </c>
      <c r="L309" s="51">
        <f t="shared" si="14"/>
        <v>533.34399999999994</v>
      </c>
    </row>
    <row r="310" spans="2:12" x14ac:dyDescent="0.2">
      <c r="B310" s="43" t="s">
        <v>24</v>
      </c>
      <c r="C310" s="44" t="e">
        <f>IF(B310="","",VLOOKUP(B310,ORÇAMENTO!$B$7:C176,2,0))</f>
        <v>#N/A</v>
      </c>
      <c r="D310" s="44" t="s">
        <v>122</v>
      </c>
      <c r="E310" s="44" t="e">
        <f>IF(D310="","",VLOOKUP(D310,ORÇAMENTO!$B$7:$E$73,2,0))</f>
        <v>#N/A</v>
      </c>
      <c r="F310" s="44" t="s">
        <v>28</v>
      </c>
      <c r="G310" s="44" t="s">
        <v>44</v>
      </c>
      <c r="H310" s="45">
        <v>1</v>
      </c>
      <c r="I310" s="46">
        <v>36.85</v>
      </c>
      <c r="J310" s="46">
        <v>1</v>
      </c>
      <c r="K310" s="47">
        <v>1.8</v>
      </c>
      <c r="L310" s="51">
        <f t="shared" si="14"/>
        <v>66.33</v>
      </c>
    </row>
    <row r="311" spans="2:12" x14ac:dyDescent="0.2">
      <c r="B311" s="43" t="s">
        <v>24</v>
      </c>
      <c r="C311" s="44" t="e">
        <f>IF(B311="","",VLOOKUP(B311,ORÇAMENTO!$B$7:C177,2,0))</f>
        <v>#N/A</v>
      </c>
      <c r="D311" s="44" t="s">
        <v>122</v>
      </c>
      <c r="E311" s="44" t="e">
        <f>IF(D311="","",VLOOKUP(D311,ORÇAMENTO!$B$7:$E$73,2,0))</f>
        <v>#N/A</v>
      </c>
      <c r="F311" s="44" t="s">
        <v>28</v>
      </c>
      <c r="G311" s="44" t="s">
        <v>41</v>
      </c>
      <c r="H311" s="45">
        <v>2</v>
      </c>
      <c r="I311" s="46">
        <v>6.3</v>
      </c>
      <c r="J311" s="46">
        <v>1</v>
      </c>
      <c r="K311" s="47">
        <v>3</v>
      </c>
      <c r="L311" s="51">
        <f t="shared" si="14"/>
        <v>37.799999999999997</v>
      </c>
    </row>
    <row r="312" spans="2:12" x14ac:dyDescent="0.2">
      <c r="B312" s="43" t="s">
        <v>24</v>
      </c>
      <c r="C312" s="44" t="e">
        <f>IF(B312="","",VLOOKUP(B312,ORÇAMENTO!$B$7:C178,2,0))</f>
        <v>#N/A</v>
      </c>
      <c r="D312" s="44" t="s">
        <v>122</v>
      </c>
      <c r="E312" s="44" t="e">
        <f>IF(D312="","",VLOOKUP(D312,ORÇAMENTO!$B$7:$E$73,2,0))</f>
        <v>#N/A</v>
      </c>
      <c r="F312" s="44" t="s">
        <v>28</v>
      </c>
      <c r="G312" s="44" t="s">
        <v>44</v>
      </c>
      <c r="H312" s="45">
        <v>1</v>
      </c>
      <c r="I312" s="46">
        <v>9.8699999999999992</v>
      </c>
      <c r="J312" s="46">
        <v>1</v>
      </c>
      <c r="K312" s="47">
        <v>1</v>
      </c>
      <c r="L312" s="51">
        <f t="shared" si="14"/>
        <v>9.8699999999999992</v>
      </c>
    </row>
    <row r="313" spans="2:12" x14ac:dyDescent="0.2">
      <c r="B313" s="43" t="s">
        <v>24</v>
      </c>
      <c r="C313" s="44" t="e">
        <f>IF(B313="","",VLOOKUP(B313,ORÇAMENTO!$B$7:C179,2,0))</f>
        <v>#N/A</v>
      </c>
      <c r="D313" s="44" t="s">
        <v>122</v>
      </c>
      <c r="E313" s="44" t="e">
        <f>IF(D313="","",VLOOKUP(D313,ORÇAMENTO!$B$7:$E$73,2,0))</f>
        <v>#N/A</v>
      </c>
      <c r="F313" s="44" t="s">
        <v>28</v>
      </c>
      <c r="G313" s="44" t="s">
        <v>45</v>
      </c>
      <c r="H313" s="45">
        <v>1</v>
      </c>
      <c r="I313" s="46">
        <f>37.67</f>
        <v>37.67</v>
      </c>
      <c r="J313" s="46">
        <v>1</v>
      </c>
      <c r="K313" s="47">
        <v>2.8</v>
      </c>
      <c r="L313" s="51">
        <f>H313*I313*J313*K313+38.36</f>
        <v>143.83600000000001</v>
      </c>
    </row>
    <row r="314" spans="2:12" x14ac:dyDescent="0.2">
      <c r="B314" s="43" t="s">
        <v>24</v>
      </c>
      <c r="C314" s="44" t="e">
        <f>IF(B314="","",VLOOKUP(B314,ORÇAMENTO!$B$7:C181,2,0))</f>
        <v>#N/A</v>
      </c>
      <c r="D314" s="44" t="s">
        <v>122</v>
      </c>
      <c r="E314" s="44" t="e">
        <f>IF(D314="","",VLOOKUP(D314,ORÇAMENTO!$B$7:$E$73,2,0))</f>
        <v>#N/A</v>
      </c>
      <c r="F314" s="44" t="s">
        <v>29</v>
      </c>
      <c r="G314" s="44" t="s">
        <v>42</v>
      </c>
      <c r="H314" s="45">
        <v>1</v>
      </c>
      <c r="I314" s="46">
        <v>36.85</v>
      </c>
      <c r="J314" s="46">
        <v>1</v>
      </c>
      <c r="K314" s="47">
        <v>1.8</v>
      </c>
      <c r="L314" s="51">
        <f t="shared" ref="L314:L345" si="15">H314*I314*J314*K314</f>
        <v>66.33</v>
      </c>
    </row>
    <row r="315" spans="2:12" x14ac:dyDescent="0.2">
      <c r="B315" s="43" t="s">
        <v>24</v>
      </c>
      <c r="C315" s="44" t="e">
        <f>IF(B315="","",VLOOKUP(B315,ORÇAMENTO!$B$7:C182,2,0))</f>
        <v>#N/A</v>
      </c>
      <c r="D315" s="44" t="s">
        <v>122</v>
      </c>
      <c r="E315" s="44" t="e">
        <f>IF(D315="","",VLOOKUP(D315,ORÇAMENTO!$B$7:$E$73,2,0))</f>
        <v>#N/A</v>
      </c>
      <c r="F315" s="44" t="s">
        <v>29</v>
      </c>
      <c r="G315" s="44" t="s">
        <v>41</v>
      </c>
      <c r="H315" s="45">
        <v>1</v>
      </c>
      <c r="I315" s="46">
        <v>9.8699999999999992</v>
      </c>
      <c r="J315" s="46">
        <v>1</v>
      </c>
      <c r="K315" s="47">
        <v>1</v>
      </c>
      <c r="L315" s="51">
        <f t="shared" si="15"/>
        <v>9.8699999999999992</v>
      </c>
    </row>
    <row r="316" spans="2:12" x14ac:dyDescent="0.2">
      <c r="B316" s="43" t="s">
        <v>24</v>
      </c>
      <c r="C316" s="44" t="e">
        <f>IF(B316="","",VLOOKUP(B316,ORÇAMENTO!$B$7:C185,2,0))</f>
        <v>#N/A</v>
      </c>
      <c r="D316" s="44" t="s">
        <v>122</v>
      </c>
      <c r="E316" s="44" t="e">
        <f>IF(D316="","",VLOOKUP(D316,ORÇAMENTO!$B$7:$E$73,2,0))</f>
        <v>#N/A</v>
      </c>
      <c r="F316" s="44" t="s">
        <v>29</v>
      </c>
      <c r="G316" s="44" t="s">
        <v>46</v>
      </c>
      <c r="H316" s="45">
        <f>5*2</f>
        <v>10</v>
      </c>
      <c r="I316" s="46">
        <v>4.82</v>
      </c>
      <c r="J316" s="46">
        <v>1</v>
      </c>
      <c r="K316" s="47">
        <v>2.8</v>
      </c>
      <c r="L316" s="51">
        <f t="shared" si="15"/>
        <v>134.96</v>
      </c>
    </row>
    <row r="317" spans="2:12" x14ac:dyDescent="0.2">
      <c r="B317" s="43" t="s">
        <v>24</v>
      </c>
      <c r="C317" s="44" t="e">
        <f>IF(B317="","",VLOOKUP(B317,ORÇAMENTO!$B$7:C186,2,0))</f>
        <v>#N/A</v>
      </c>
      <c r="D317" s="44" t="s">
        <v>122</v>
      </c>
      <c r="E317" s="44" t="e">
        <f>IF(D317="","",VLOOKUP(D317,ORÇAMENTO!$B$7:$E$73,2,0))</f>
        <v>#N/A</v>
      </c>
      <c r="F317" s="44" t="s">
        <v>29</v>
      </c>
      <c r="G317" s="44" t="s">
        <v>46</v>
      </c>
      <c r="H317" s="45">
        <f>5*1</f>
        <v>5</v>
      </c>
      <c r="I317" s="46">
        <v>0.8</v>
      </c>
      <c r="J317" s="46">
        <v>1</v>
      </c>
      <c r="K317" s="47">
        <v>2.8</v>
      </c>
      <c r="L317" s="51">
        <f t="shared" si="15"/>
        <v>11.2</v>
      </c>
    </row>
    <row r="318" spans="2:12" x14ac:dyDescent="0.2">
      <c r="B318" s="43" t="s">
        <v>24</v>
      </c>
      <c r="C318" s="44" t="e">
        <f>IF(B318="","",VLOOKUP(B318,ORÇAMENTO!$B$7:C187,2,0))</f>
        <v>#N/A</v>
      </c>
      <c r="D318" s="44" t="s">
        <v>122</v>
      </c>
      <c r="E318" s="44" t="e">
        <f>IF(D318="","",VLOOKUP(D318,ORÇAMENTO!$B$7:$E$73,2,0))</f>
        <v>#N/A</v>
      </c>
      <c r="F318" s="44" t="s">
        <v>29</v>
      </c>
      <c r="G318" s="44" t="s">
        <v>47</v>
      </c>
      <c r="H318" s="45">
        <f>5*2</f>
        <v>10</v>
      </c>
      <c r="I318" s="46">
        <v>5.15</v>
      </c>
      <c r="J318" s="46">
        <v>1</v>
      </c>
      <c r="K318" s="47">
        <v>2.8</v>
      </c>
      <c r="L318" s="51">
        <f t="shared" si="15"/>
        <v>144.19999999999999</v>
      </c>
    </row>
    <row r="319" spans="2:12" x14ac:dyDescent="0.2">
      <c r="B319" s="43" t="s">
        <v>24</v>
      </c>
      <c r="C319" s="44" t="e">
        <f>IF(B319="","",VLOOKUP(B319,ORÇAMENTO!$B$7:C188,2,0))</f>
        <v>#N/A</v>
      </c>
      <c r="D319" s="44" t="s">
        <v>122</v>
      </c>
      <c r="E319" s="44" t="e">
        <f>IF(D319="","",VLOOKUP(D319,ORÇAMENTO!$B$7:$E$73,2,0))</f>
        <v>#N/A</v>
      </c>
      <c r="F319" s="44" t="s">
        <v>29</v>
      </c>
      <c r="G319" s="44" t="s">
        <v>48</v>
      </c>
      <c r="H319" s="45">
        <f>5*2</f>
        <v>10</v>
      </c>
      <c r="I319" s="46">
        <v>7.75</v>
      </c>
      <c r="J319" s="46">
        <v>1</v>
      </c>
      <c r="K319" s="47">
        <v>2.8</v>
      </c>
      <c r="L319" s="51">
        <f t="shared" si="15"/>
        <v>217</v>
      </c>
    </row>
    <row r="320" spans="2:12" x14ac:dyDescent="0.2">
      <c r="B320" s="43" t="s">
        <v>24</v>
      </c>
      <c r="C320" s="44" t="e">
        <f>IF(B320="","",VLOOKUP(B320,ORÇAMENTO!$B$7:C189,2,0))</f>
        <v>#N/A</v>
      </c>
      <c r="D320" s="44" t="s">
        <v>122</v>
      </c>
      <c r="E320" s="44" t="e">
        <f>IF(D320="","",VLOOKUP(D320,ORÇAMENTO!$B$7:$E$73,2,0))</f>
        <v>#N/A</v>
      </c>
      <c r="F320" s="44" t="s">
        <v>29</v>
      </c>
      <c r="G320" s="44" t="s">
        <v>48</v>
      </c>
      <c r="H320" s="45">
        <f>5*1</f>
        <v>5</v>
      </c>
      <c r="I320" s="46">
        <v>12.1</v>
      </c>
      <c r="J320" s="46">
        <v>1</v>
      </c>
      <c r="K320" s="47">
        <v>2.8</v>
      </c>
      <c r="L320" s="51">
        <f t="shared" si="15"/>
        <v>169.39999999999998</v>
      </c>
    </row>
    <row r="321" spans="2:12" x14ac:dyDescent="0.2">
      <c r="B321" s="43" t="s">
        <v>24</v>
      </c>
      <c r="C321" s="44" t="e">
        <f>IF(B321="","",VLOOKUP(B321,ORÇAMENTO!$B$7:C190,2,0))</f>
        <v>#N/A</v>
      </c>
      <c r="D321" s="44" t="s">
        <v>122</v>
      </c>
      <c r="E321" s="44" t="e">
        <f>IF(D321="","",VLOOKUP(D321,ORÇAMENTO!$B$7:$E$73,2,0))</f>
        <v>#N/A</v>
      </c>
      <c r="F321" s="44" t="s">
        <v>29</v>
      </c>
      <c r="G321" s="44" t="s">
        <v>49</v>
      </c>
      <c r="H321" s="45">
        <f>5*2</f>
        <v>10</v>
      </c>
      <c r="I321" s="46">
        <v>9.4</v>
      </c>
      <c r="J321" s="46">
        <v>1</v>
      </c>
      <c r="K321" s="47">
        <v>2.8</v>
      </c>
      <c r="L321" s="51">
        <f t="shared" si="15"/>
        <v>263.2</v>
      </c>
    </row>
    <row r="322" spans="2:12" x14ac:dyDescent="0.2">
      <c r="B322" s="43" t="s">
        <v>24</v>
      </c>
      <c r="C322" s="44" t="e">
        <f>IF(B322="","",VLOOKUP(B322,ORÇAMENTO!$B$7:C191,2,0))</f>
        <v>#N/A</v>
      </c>
      <c r="D322" s="44" t="s">
        <v>122</v>
      </c>
      <c r="E322" s="44" t="e">
        <f>IF(D322="","",VLOOKUP(D322,ORÇAMENTO!$B$7:$E$73,2,0))</f>
        <v>#N/A</v>
      </c>
      <c r="F322" s="44" t="s">
        <v>29</v>
      </c>
      <c r="G322" s="44" t="s">
        <v>49</v>
      </c>
      <c r="H322" s="45">
        <f>5*1</f>
        <v>5</v>
      </c>
      <c r="I322" s="46">
        <v>0.8</v>
      </c>
      <c r="J322" s="46">
        <v>1</v>
      </c>
      <c r="K322" s="47">
        <v>2.8</v>
      </c>
      <c r="L322" s="51">
        <f t="shared" si="15"/>
        <v>11.2</v>
      </c>
    </row>
    <row r="323" spans="2:12" x14ac:dyDescent="0.2">
      <c r="B323" s="43" t="s">
        <v>24</v>
      </c>
      <c r="C323" s="44" t="e">
        <f>IF(B323="","",VLOOKUP(B323,ORÇAMENTO!$B$7:C192,2,0))</f>
        <v>#N/A</v>
      </c>
      <c r="D323" s="44" t="s">
        <v>122</v>
      </c>
      <c r="E323" s="44" t="e">
        <f>IF(D323="","",VLOOKUP(D323,ORÇAMENTO!$B$7:$E$73,2,0))</f>
        <v>#N/A</v>
      </c>
      <c r="F323" s="44" t="s">
        <v>29</v>
      </c>
      <c r="G323" s="44" t="s">
        <v>50</v>
      </c>
      <c r="H323" s="45">
        <f>5*2</f>
        <v>10</v>
      </c>
      <c r="I323" s="46">
        <v>4.05</v>
      </c>
      <c r="J323" s="46">
        <v>1</v>
      </c>
      <c r="K323" s="47">
        <v>2.8</v>
      </c>
      <c r="L323" s="51">
        <f t="shared" si="15"/>
        <v>113.39999999999999</v>
      </c>
    </row>
    <row r="324" spans="2:12" x14ac:dyDescent="0.2">
      <c r="B324" s="43" t="s">
        <v>24</v>
      </c>
      <c r="C324" s="44" t="e">
        <f>IF(B324="","",VLOOKUP(B324,ORÇAMENTO!$B$7:C193,2,0))</f>
        <v>#N/A</v>
      </c>
      <c r="D324" s="44" t="s">
        <v>122</v>
      </c>
      <c r="E324" s="44" t="e">
        <f>IF(D324="","",VLOOKUP(D324,ORÇAMENTO!$B$7:$E$73,2,0))</f>
        <v>#N/A</v>
      </c>
      <c r="F324" s="44" t="s">
        <v>29</v>
      </c>
      <c r="G324" s="44" t="s">
        <v>51</v>
      </c>
      <c r="H324" s="45">
        <f>5*2</f>
        <v>10</v>
      </c>
      <c r="I324" s="46">
        <v>2.7</v>
      </c>
      <c r="J324" s="46">
        <v>1</v>
      </c>
      <c r="K324" s="47">
        <v>2.8</v>
      </c>
      <c r="L324" s="51">
        <f t="shared" si="15"/>
        <v>75.599999999999994</v>
      </c>
    </row>
    <row r="325" spans="2:12" x14ac:dyDescent="0.2">
      <c r="B325" s="43" t="s">
        <v>24</v>
      </c>
      <c r="C325" s="44" t="e">
        <f>IF(B325="","",VLOOKUP(B325,ORÇAMENTO!$B$7:C194,2,0))</f>
        <v>#N/A</v>
      </c>
      <c r="D325" s="44" t="s">
        <v>122</v>
      </c>
      <c r="E325" s="44" t="e">
        <f>IF(D325="","",VLOOKUP(D325,ORÇAMENTO!$B$7:$E$73,2,0))</f>
        <v>#N/A</v>
      </c>
      <c r="F325" s="44" t="s">
        <v>29</v>
      </c>
      <c r="G325" s="44" t="s">
        <v>51</v>
      </c>
      <c r="H325" s="45">
        <f>5*2</f>
        <v>10</v>
      </c>
      <c r="I325" s="46">
        <v>5.2</v>
      </c>
      <c r="J325" s="46">
        <v>1</v>
      </c>
      <c r="K325" s="47">
        <v>2.8</v>
      </c>
      <c r="L325" s="51">
        <f t="shared" si="15"/>
        <v>145.6</v>
      </c>
    </row>
    <row r="326" spans="2:12" x14ac:dyDescent="0.2">
      <c r="B326" s="43" t="s">
        <v>24</v>
      </c>
      <c r="C326" s="44" t="e">
        <f>IF(B326="","",VLOOKUP(B326,ORÇAMENTO!$B$7:C195,2,0))</f>
        <v>#N/A</v>
      </c>
      <c r="D326" s="44" t="s">
        <v>122</v>
      </c>
      <c r="E326" s="44" t="e">
        <f>IF(D326="","",VLOOKUP(D326,ORÇAMENTO!$B$7:$E$73,2,0))</f>
        <v>#N/A</v>
      </c>
      <c r="F326" s="44" t="s">
        <v>29</v>
      </c>
      <c r="G326" s="44" t="s">
        <v>52</v>
      </c>
      <c r="H326" s="45">
        <f>5*2</f>
        <v>10</v>
      </c>
      <c r="I326" s="46">
        <v>3.75</v>
      </c>
      <c r="J326" s="46">
        <v>1</v>
      </c>
      <c r="K326" s="47">
        <v>2.8</v>
      </c>
      <c r="L326" s="51">
        <f t="shared" si="15"/>
        <v>105</v>
      </c>
    </row>
    <row r="327" spans="2:12" x14ac:dyDescent="0.2">
      <c r="B327" s="43" t="s">
        <v>24</v>
      </c>
      <c r="C327" s="44" t="e">
        <f>IF(B327="","",VLOOKUP(B327,ORÇAMENTO!$B$7:C196,2,0))</f>
        <v>#N/A</v>
      </c>
      <c r="D327" s="44" t="s">
        <v>122</v>
      </c>
      <c r="E327" s="44" t="e">
        <f>IF(D327="","",VLOOKUP(D327,ORÇAMENTO!$B$7:$E$73,2,0))</f>
        <v>#N/A</v>
      </c>
      <c r="F327" s="44" t="s">
        <v>29</v>
      </c>
      <c r="G327" s="44" t="s">
        <v>53</v>
      </c>
      <c r="H327" s="45">
        <f>5*1</f>
        <v>5</v>
      </c>
      <c r="I327" s="46">
        <v>11.6</v>
      </c>
      <c r="J327" s="46">
        <v>1</v>
      </c>
      <c r="K327" s="47">
        <v>2.8</v>
      </c>
      <c r="L327" s="51">
        <f t="shared" si="15"/>
        <v>162.39999999999998</v>
      </c>
    </row>
    <row r="328" spans="2:12" x14ac:dyDescent="0.2">
      <c r="B328" s="43" t="s">
        <v>24</v>
      </c>
      <c r="C328" s="44" t="e">
        <f>IF(B328="","",VLOOKUP(B328,ORÇAMENTO!$B$7:C197,2,0))</f>
        <v>#N/A</v>
      </c>
      <c r="D328" s="44" t="s">
        <v>122</v>
      </c>
      <c r="E328" s="44" t="e">
        <f>IF(D328="","",VLOOKUP(D328,ORÇAMENTO!$B$7:$E$73,2,0))</f>
        <v>#N/A</v>
      </c>
      <c r="F328" s="44" t="s">
        <v>34</v>
      </c>
      <c r="G328" s="44" t="s">
        <v>42</v>
      </c>
      <c r="H328" s="45">
        <v>2</v>
      </c>
      <c r="I328" s="46">
        <v>5</v>
      </c>
      <c r="J328" s="46">
        <v>1</v>
      </c>
      <c r="K328" s="47">
        <v>2.8</v>
      </c>
      <c r="L328" s="51">
        <f t="shared" si="15"/>
        <v>28</v>
      </c>
    </row>
    <row r="329" spans="2:12" x14ac:dyDescent="0.2">
      <c r="B329" s="43" t="s">
        <v>24</v>
      </c>
      <c r="C329" s="44" t="e">
        <f>IF(B329="","",VLOOKUP(B329,ORÇAMENTO!$B$7:C198,2,0))</f>
        <v>#N/A</v>
      </c>
      <c r="D329" s="44" t="s">
        <v>122</v>
      </c>
      <c r="E329" s="44" t="e">
        <f>IF(D329="","",VLOOKUP(D329,ORÇAMENTO!$B$7:$E$73,2,0))</f>
        <v>#N/A</v>
      </c>
      <c r="F329" s="44" t="s">
        <v>34</v>
      </c>
      <c r="G329" s="44" t="s">
        <v>41</v>
      </c>
      <c r="H329" s="45">
        <v>2</v>
      </c>
      <c r="I329" s="46">
        <v>6.3</v>
      </c>
      <c r="J329" s="46">
        <v>1</v>
      </c>
      <c r="K329" s="47">
        <v>3</v>
      </c>
      <c r="L329" s="51">
        <f t="shared" si="15"/>
        <v>37.799999999999997</v>
      </c>
    </row>
    <row r="330" spans="2:12" x14ac:dyDescent="0.2">
      <c r="B330" s="43" t="s">
        <v>24</v>
      </c>
      <c r="C330" s="44" t="e">
        <f>IF(B330="","",VLOOKUP(B330,ORÇAMENTO!$B$7:C201,2,0))</f>
        <v>#N/A</v>
      </c>
      <c r="D330" s="44" t="s">
        <v>122</v>
      </c>
      <c r="E330" s="44" t="e">
        <f>IF(D330="","",VLOOKUP(D330,ORÇAMENTO!$B$7:$E$73,2,0))</f>
        <v>#N/A</v>
      </c>
      <c r="F330" s="44" t="s">
        <v>34</v>
      </c>
      <c r="G330" s="44" t="s">
        <v>46</v>
      </c>
      <c r="H330" s="45">
        <v>2</v>
      </c>
      <c r="I330" s="46">
        <v>4.82</v>
      </c>
      <c r="J330" s="46">
        <v>1</v>
      </c>
      <c r="K330" s="47">
        <v>2.8</v>
      </c>
      <c r="L330" s="51">
        <f t="shared" si="15"/>
        <v>26.992000000000001</v>
      </c>
    </row>
    <row r="331" spans="2:12" x14ac:dyDescent="0.2">
      <c r="B331" s="43" t="s">
        <v>24</v>
      </c>
      <c r="C331" s="44" t="e">
        <f>IF(B331="","",VLOOKUP(B331,ORÇAMENTO!$B$7:C202,2,0))</f>
        <v>#N/A</v>
      </c>
      <c r="D331" s="44" t="s">
        <v>122</v>
      </c>
      <c r="E331" s="44" t="e">
        <f>IF(D331="","",VLOOKUP(D331,ORÇAMENTO!$B$7:$E$73,2,0))</f>
        <v>#N/A</v>
      </c>
      <c r="F331" s="44" t="s">
        <v>34</v>
      </c>
      <c r="G331" s="44" t="s">
        <v>46</v>
      </c>
      <c r="H331" s="45">
        <v>1</v>
      </c>
      <c r="I331" s="46">
        <v>0.8</v>
      </c>
      <c r="J331" s="46">
        <v>1</v>
      </c>
      <c r="K331" s="47">
        <v>2.8</v>
      </c>
      <c r="L331" s="51">
        <f t="shared" si="15"/>
        <v>2.2399999999999998</v>
      </c>
    </row>
    <row r="332" spans="2:12" x14ac:dyDescent="0.2">
      <c r="B332" s="43" t="s">
        <v>24</v>
      </c>
      <c r="C332" s="44" t="e">
        <f>IF(B332="","",VLOOKUP(B332,ORÇAMENTO!$B$7:C203,2,0))</f>
        <v>#N/A</v>
      </c>
      <c r="D332" s="44" t="s">
        <v>122</v>
      </c>
      <c r="E332" s="44" t="e">
        <f>IF(D332="","",VLOOKUP(D332,ORÇAMENTO!$B$7:$E$73,2,0))</f>
        <v>#N/A</v>
      </c>
      <c r="F332" s="44" t="s">
        <v>34</v>
      </c>
      <c r="G332" s="44" t="s">
        <v>47</v>
      </c>
      <c r="H332" s="45">
        <v>2</v>
      </c>
      <c r="I332" s="46">
        <v>5.15</v>
      </c>
      <c r="J332" s="46">
        <v>1</v>
      </c>
      <c r="K332" s="47">
        <v>2.8</v>
      </c>
      <c r="L332" s="51">
        <f t="shared" si="15"/>
        <v>28.84</v>
      </c>
    </row>
    <row r="333" spans="2:12" x14ac:dyDescent="0.2">
      <c r="B333" s="43" t="s">
        <v>24</v>
      </c>
      <c r="C333" s="44" t="e">
        <f>IF(B333="","",VLOOKUP(B333,ORÇAMENTO!$B$7:C204,2,0))</f>
        <v>#N/A</v>
      </c>
      <c r="D333" s="44" t="s">
        <v>122</v>
      </c>
      <c r="E333" s="44" t="e">
        <f>IF(D333="","",VLOOKUP(D333,ORÇAMENTO!$B$7:$E$73,2,0))</f>
        <v>#N/A</v>
      </c>
      <c r="F333" s="44" t="s">
        <v>34</v>
      </c>
      <c r="G333" s="44" t="s">
        <v>48</v>
      </c>
      <c r="H333" s="45">
        <v>2</v>
      </c>
      <c r="I333" s="46">
        <v>7.75</v>
      </c>
      <c r="J333" s="46">
        <v>1</v>
      </c>
      <c r="K333" s="47">
        <v>2.8</v>
      </c>
      <c r="L333" s="51">
        <f t="shared" si="15"/>
        <v>43.4</v>
      </c>
    </row>
    <row r="334" spans="2:12" x14ac:dyDescent="0.2">
      <c r="B334" s="43" t="s">
        <v>24</v>
      </c>
      <c r="C334" s="44" t="e">
        <f>IF(B334="","",VLOOKUP(B334,ORÇAMENTO!$B$7:C205,2,0))</f>
        <v>#N/A</v>
      </c>
      <c r="D334" s="44" t="s">
        <v>122</v>
      </c>
      <c r="E334" s="44" t="e">
        <f>IF(D334="","",VLOOKUP(D334,ORÇAMENTO!$B$7:$E$73,2,0))</f>
        <v>#N/A</v>
      </c>
      <c r="F334" s="44" t="s">
        <v>34</v>
      </c>
      <c r="G334" s="44" t="s">
        <v>48</v>
      </c>
      <c r="H334" s="45">
        <v>1</v>
      </c>
      <c r="I334" s="46">
        <v>12.1</v>
      </c>
      <c r="J334" s="46">
        <v>1</v>
      </c>
      <c r="K334" s="47">
        <v>2.8</v>
      </c>
      <c r="L334" s="51">
        <f t="shared" si="15"/>
        <v>33.879999999999995</v>
      </c>
    </row>
    <row r="335" spans="2:12" x14ac:dyDescent="0.2">
      <c r="B335" s="43" t="s">
        <v>24</v>
      </c>
      <c r="C335" s="44" t="e">
        <f>IF(B335="","",VLOOKUP(B335,ORÇAMENTO!$B$7:C206,2,0))</f>
        <v>#N/A</v>
      </c>
      <c r="D335" s="44" t="s">
        <v>122</v>
      </c>
      <c r="E335" s="44" t="e">
        <f>IF(D335="","",VLOOKUP(D335,ORÇAMENTO!$B$7:$E$73,2,0))</f>
        <v>#N/A</v>
      </c>
      <c r="F335" s="44" t="s">
        <v>34</v>
      </c>
      <c r="G335" s="44" t="s">
        <v>49</v>
      </c>
      <c r="H335" s="45">
        <v>2</v>
      </c>
      <c r="I335" s="46">
        <v>9.4</v>
      </c>
      <c r="J335" s="46">
        <v>1</v>
      </c>
      <c r="K335" s="47">
        <v>2.8</v>
      </c>
      <c r="L335" s="51">
        <f t="shared" si="15"/>
        <v>52.64</v>
      </c>
    </row>
    <row r="336" spans="2:12" x14ac:dyDescent="0.2">
      <c r="B336" s="43" t="s">
        <v>24</v>
      </c>
      <c r="C336" s="44" t="e">
        <f>IF(B336="","",VLOOKUP(B336,ORÇAMENTO!$B$7:C207,2,0))</f>
        <v>#N/A</v>
      </c>
      <c r="D336" s="44" t="s">
        <v>122</v>
      </c>
      <c r="E336" s="44" t="e">
        <f>IF(D336="","",VLOOKUP(D336,ORÇAMENTO!$B$7:$E$73,2,0))</f>
        <v>#N/A</v>
      </c>
      <c r="F336" s="44" t="s">
        <v>34</v>
      </c>
      <c r="G336" s="44" t="s">
        <v>49</v>
      </c>
      <c r="H336" s="45">
        <v>1</v>
      </c>
      <c r="I336" s="46">
        <v>0.8</v>
      </c>
      <c r="J336" s="46">
        <v>1</v>
      </c>
      <c r="K336" s="47">
        <v>2.8</v>
      </c>
      <c r="L336" s="51">
        <f t="shared" si="15"/>
        <v>2.2399999999999998</v>
      </c>
    </row>
    <row r="337" spans="2:12" x14ac:dyDescent="0.2">
      <c r="B337" s="43" t="s">
        <v>24</v>
      </c>
      <c r="C337" s="44" t="e">
        <f>IF(B337="","",VLOOKUP(B337,ORÇAMENTO!$B$7:C208,2,0))</f>
        <v>#N/A</v>
      </c>
      <c r="D337" s="44" t="s">
        <v>122</v>
      </c>
      <c r="E337" s="44" t="e">
        <f>IF(D337="","",VLOOKUP(D337,ORÇAMENTO!$B$7:$E$73,2,0))</f>
        <v>#N/A</v>
      </c>
      <c r="F337" s="44" t="s">
        <v>34</v>
      </c>
      <c r="G337" s="44" t="s">
        <v>50</v>
      </c>
      <c r="H337" s="45">
        <v>2</v>
      </c>
      <c r="I337" s="46">
        <v>4.05</v>
      </c>
      <c r="J337" s="46">
        <v>1</v>
      </c>
      <c r="K337" s="47">
        <v>2.8</v>
      </c>
      <c r="L337" s="51">
        <f t="shared" si="15"/>
        <v>22.679999999999996</v>
      </c>
    </row>
    <row r="338" spans="2:12" x14ac:dyDescent="0.2">
      <c r="B338" s="43" t="s">
        <v>24</v>
      </c>
      <c r="C338" s="44" t="e">
        <f>IF(B338="","",VLOOKUP(B338,ORÇAMENTO!$B$7:C209,2,0))</f>
        <v>#N/A</v>
      </c>
      <c r="D338" s="44" t="s">
        <v>122</v>
      </c>
      <c r="E338" s="44" t="e">
        <f>IF(D338="","",VLOOKUP(D338,ORÇAMENTO!$B$7:$E$73,2,0))</f>
        <v>#N/A</v>
      </c>
      <c r="F338" s="44" t="s">
        <v>34</v>
      </c>
      <c r="G338" s="44" t="s">
        <v>51</v>
      </c>
      <c r="H338" s="45">
        <v>2</v>
      </c>
      <c r="I338" s="46">
        <v>2.7</v>
      </c>
      <c r="J338" s="46">
        <v>1</v>
      </c>
      <c r="K338" s="47">
        <v>2.8</v>
      </c>
      <c r="L338" s="51">
        <f t="shared" si="15"/>
        <v>15.12</v>
      </c>
    </row>
    <row r="339" spans="2:12" x14ac:dyDescent="0.2">
      <c r="B339" s="43" t="s">
        <v>24</v>
      </c>
      <c r="C339" s="44" t="e">
        <f>IF(B339="","",VLOOKUP(B339,ORÇAMENTO!$B$7:C210,2,0))</f>
        <v>#N/A</v>
      </c>
      <c r="D339" s="44" t="s">
        <v>122</v>
      </c>
      <c r="E339" s="44" t="e">
        <f>IF(D339="","",VLOOKUP(D339,ORÇAMENTO!$B$7:$E$73,2,0))</f>
        <v>#N/A</v>
      </c>
      <c r="F339" s="44" t="s">
        <v>34</v>
      </c>
      <c r="G339" s="44" t="s">
        <v>51</v>
      </c>
      <c r="H339" s="45">
        <v>2</v>
      </c>
      <c r="I339" s="46">
        <v>5.2</v>
      </c>
      <c r="J339" s="46">
        <v>1</v>
      </c>
      <c r="K339" s="47">
        <v>2.8</v>
      </c>
      <c r="L339" s="51">
        <f t="shared" si="15"/>
        <v>29.119999999999997</v>
      </c>
    </row>
    <row r="340" spans="2:12" x14ac:dyDescent="0.2">
      <c r="B340" s="43" t="s">
        <v>24</v>
      </c>
      <c r="C340" s="44" t="e">
        <f>IF(B340="","",VLOOKUP(B340,ORÇAMENTO!$B$7:C211,2,0))</f>
        <v>#N/A</v>
      </c>
      <c r="D340" s="44" t="s">
        <v>122</v>
      </c>
      <c r="E340" s="44" t="e">
        <f>IF(D340="","",VLOOKUP(D340,ORÇAMENTO!$B$7:$E$73,2,0))</f>
        <v>#N/A</v>
      </c>
      <c r="F340" s="44" t="s">
        <v>34</v>
      </c>
      <c r="G340" s="44" t="s">
        <v>52</v>
      </c>
      <c r="H340" s="45">
        <v>2</v>
      </c>
      <c r="I340" s="46">
        <v>3.75</v>
      </c>
      <c r="J340" s="46">
        <v>1</v>
      </c>
      <c r="K340" s="47">
        <v>2.8</v>
      </c>
      <c r="L340" s="51">
        <f t="shared" si="15"/>
        <v>21</v>
      </c>
    </row>
    <row r="341" spans="2:12" x14ac:dyDescent="0.2">
      <c r="B341" s="43" t="s">
        <v>24</v>
      </c>
      <c r="C341" s="44" t="e">
        <f>IF(B341="","",VLOOKUP(B341,ORÇAMENTO!$B$7:C212,2,0))</f>
        <v>#N/A</v>
      </c>
      <c r="D341" s="44" t="s">
        <v>122</v>
      </c>
      <c r="E341" s="44" t="e">
        <f>IF(D341="","",VLOOKUP(D341,ORÇAMENTO!$B$7:$E$73,2,0))</f>
        <v>#N/A</v>
      </c>
      <c r="F341" s="44" t="s">
        <v>34</v>
      </c>
      <c r="G341" s="44" t="s">
        <v>53</v>
      </c>
      <c r="H341" s="45">
        <v>1</v>
      </c>
      <c r="I341" s="46">
        <v>11.6</v>
      </c>
      <c r="J341" s="46">
        <v>1</v>
      </c>
      <c r="K341" s="47">
        <v>2.8</v>
      </c>
      <c r="L341" s="51">
        <f t="shared" si="15"/>
        <v>32.479999999999997</v>
      </c>
    </row>
    <row r="342" spans="2:12" x14ac:dyDescent="0.2">
      <c r="B342" s="43" t="s">
        <v>24</v>
      </c>
      <c r="C342" s="44" t="e">
        <f>IF(B342="","",VLOOKUP(B342,ORÇAMENTO!$B$7:C213,2,0))</f>
        <v>#N/A</v>
      </c>
      <c r="D342" s="44" t="s">
        <v>122</v>
      </c>
      <c r="E342" s="44" t="e">
        <f>IF(D342="","",VLOOKUP(D342,ORÇAMENTO!$B$7:$E$73,2,0))</f>
        <v>#N/A</v>
      </c>
      <c r="F342" s="44" t="s">
        <v>15</v>
      </c>
      <c r="G342" s="44" t="s">
        <v>41</v>
      </c>
      <c r="H342" s="45">
        <v>2</v>
      </c>
      <c r="I342" s="46">
        <v>6.3</v>
      </c>
      <c r="J342" s="46">
        <v>1</v>
      </c>
      <c r="K342" s="47">
        <v>3</v>
      </c>
      <c r="L342" s="51">
        <f t="shared" si="15"/>
        <v>37.799999999999997</v>
      </c>
    </row>
    <row r="343" spans="2:12" x14ac:dyDescent="0.2">
      <c r="B343" s="43" t="s">
        <v>24</v>
      </c>
      <c r="C343" s="44" t="e">
        <f>IF(B343="","",VLOOKUP(B343,ORÇAMENTO!$B$7:C214,2,0))</f>
        <v>#N/A</v>
      </c>
      <c r="D343" s="44" t="s">
        <v>122</v>
      </c>
      <c r="E343" s="44" t="e">
        <f>IF(D343="","",VLOOKUP(D343,ORÇAMENTO!$B$7:$E$73,2,0))</f>
        <v>#N/A</v>
      </c>
      <c r="F343" s="44" t="s">
        <v>15</v>
      </c>
      <c r="G343" s="44"/>
      <c r="H343" s="45">
        <v>1</v>
      </c>
      <c r="I343" s="46">
        <v>2.38</v>
      </c>
      <c r="J343" s="46">
        <v>1</v>
      </c>
      <c r="K343" s="47">
        <v>2.8</v>
      </c>
      <c r="L343" s="51">
        <f t="shared" si="15"/>
        <v>6.6639999999999997</v>
      </c>
    </row>
    <row r="344" spans="2:12" x14ac:dyDescent="0.2">
      <c r="B344" s="43" t="s">
        <v>24</v>
      </c>
      <c r="C344" s="44" t="e">
        <f>IF(B344="","",VLOOKUP(B344,ORÇAMENTO!$B$7:C215,2,0))</f>
        <v>#N/A</v>
      </c>
      <c r="D344" s="44" t="s">
        <v>122</v>
      </c>
      <c r="E344" s="44" t="e">
        <f>IF(D344="","",VLOOKUP(D344,ORÇAMENTO!$B$7:$E$73,2,0))</f>
        <v>#N/A</v>
      </c>
      <c r="F344" s="44" t="s">
        <v>15</v>
      </c>
      <c r="G344" s="44"/>
      <c r="H344" s="45">
        <v>1</v>
      </c>
      <c r="I344" s="46">
        <v>2.08</v>
      </c>
      <c r="J344" s="46">
        <v>1</v>
      </c>
      <c r="K344" s="47">
        <v>2.2999999999999998</v>
      </c>
      <c r="L344" s="51">
        <f t="shared" si="15"/>
        <v>4.7839999999999998</v>
      </c>
    </row>
    <row r="345" spans="2:12" x14ac:dyDescent="0.2">
      <c r="B345" s="43" t="s">
        <v>24</v>
      </c>
      <c r="C345" s="44" t="e">
        <f>IF(B345="","",VLOOKUP(B345,ORÇAMENTO!$B$7:C216,2,0))</f>
        <v>#N/A</v>
      </c>
      <c r="D345" s="44" t="s">
        <v>122</v>
      </c>
      <c r="E345" s="44" t="e">
        <f>IF(D345="","",VLOOKUP(D345,ORÇAMENTO!$B$7:$E$73,2,0))</f>
        <v>#N/A</v>
      </c>
      <c r="F345" s="44" t="s">
        <v>15</v>
      </c>
      <c r="G345" s="44"/>
      <c r="H345" s="45">
        <v>1</v>
      </c>
      <c r="I345" s="46">
        <v>18.36</v>
      </c>
      <c r="J345" s="46">
        <v>1</v>
      </c>
      <c r="K345" s="47">
        <v>2.15</v>
      </c>
      <c r="L345" s="51">
        <f t="shared" si="15"/>
        <v>39.473999999999997</v>
      </c>
    </row>
    <row r="346" spans="2:12" x14ac:dyDescent="0.2">
      <c r="B346" s="43" t="s">
        <v>24</v>
      </c>
      <c r="C346" s="44" t="e">
        <f>IF(B346="","",VLOOKUP(B346,ORÇAMENTO!$B$7:C217,2,0))</f>
        <v>#N/A</v>
      </c>
      <c r="D346" s="44" t="s">
        <v>122</v>
      </c>
      <c r="E346" s="44" t="e">
        <f>IF(D346="","",VLOOKUP(D346,ORÇAMENTO!$B$7:$E$73,2,0))</f>
        <v>#N/A</v>
      </c>
      <c r="F346" s="44" t="s">
        <v>15</v>
      </c>
      <c r="G346" s="44"/>
      <c r="H346" s="45">
        <v>1</v>
      </c>
      <c r="I346" s="46">
        <v>11</v>
      </c>
      <c r="J346" s="46">
        <v>1</v>
      </c>
      <c r="K346" s="47">
        <v>1.8</v>
      </c>
      <c r="L346" s="51">
        <f t="shared" ref="L346:L377" si="16">H346*I346*J346*K346</f>
        <v>19.8</v>
      </c>
    </row>
    <row r="347" spans="2:12" x14ac:dyDescent="0.2">
      <c r="B347" s="43" t="s">
        <v>24</v>
      </c>
      <c r="C347" s="44" t="e">
        <f>IF(B347="","",VLOOKUP(B347,ORÇAMENTO!$B$7:C263,2,0))</f>
        <v>#N/A</v>
      </c>
      <c r="D347" s="44" t="s">
        <v>122</v>
      </c>
      <c r="E347" s="44" t="e">
        <f>IF(D347="","",VLOOKUP(D347,ORÇAMENTO!$B$7:$E$73,2,0))</f>
        <v>#N/A</v>
      </c>
      <c r="F347" s="44" t="s">
        <v>15</v>
      </c>
      <c r="G347" s="44"/>
      <c r="H347" s="45">
        <v>1</v>
      </c>
      <c r="I347" s="46">
        <v>24.37</v>
      </c>
      <c r="J347" s="46">
        <v>1</v>
      </c>
      <c r="K347" s="47">
        <v>1.2</v>
      </c>
      <c r="L347" s="51">
        <f t="shared" si="16"/>
        <v>29.244</v>
      </c>
    </row>
    <row r="348" spans="2:12" x14ac:dyDescent="0.2">
      <c r="B348" s="43" t="s">
        <v>24</v>
      </c>
      <c r="C348" s="44" t="e">
        <f>IF(B348="","",VLOOKUP(B348,ORÇAMENTO!$B$7:C264,2,0))</f>
        <v>#N/A</v>
      </c>
      <c r="D348" s="44" t="s">
        <v>122</v>
      </c>
      <c r="E348" s="44" t="e">
        <f>IF(D348="","",VLOOKUP(D348,ORÇAMENTO!$B$7:$E$73,2,0))</f>
        <v>#N/A</v>
      </c>
      <c r="F348" s="44" t="s">
        <v>15</v>
      </c>
      <c r="G348" s="44"/>
      <c r="H348" s="45">
        <v>1</v>
      </c>
      <c r="I348" s="46">
        <v>1.65</v>
      </c>
      <c r="J348" s="46">
        <v>1</v>
      </c>
      <c r="K348" s="47">
        <v>1</v>
      </c>
      <c r="L348" s="51">
        <f t="shared" si="16"/>
        <v>1.65</v>
      </c>
    </row>
    <row r="349" spans="2:12" x14ac:dyDescent="0.2">
      <c r="B349" s="43" t="s">
        <v>24</v>
      </c>
      <c r="C349" s="44" t="e">
        <f>IF(B349="","",VLOOKUP(B349,ORÇAMENTO!$B$7:C265,2,0))</f>
        <v>#N/A</v>
      </c>
      <c r="D349" s="44" t="s">
        <v>122</v>
      </c>
      <c r="E349" s="44" t="e">
        <f>IF(D349="","",VLOOKUP(D349,ORÇAMENTO!$B$7:$E$73,2,0))</f>
        <v>#N/A</v>
      </c>
      <c r="F349" s="44" t="s">
        <v>15</v>
      </c>
      <c r="G349" s="44"/>
      <c r="H349" s="45">
        <v>1</v>
      </c>
      <c r="I349" s="46">
        <v>0.68</v>
      </c>
      <c r="J349" s="46">
        <v>1</v>
      </c>
      <c r="K349" s="47">
        <v>0.5</v>
      </c>
      <c r="L349" s="51">
        <f t="shared" si="16"/>
        <v>0.34</v>
      </c>
    </row>
    <row r="350" spans="2:12" x14ac:dyDescent="0.2">
      <c r="B350" s="43" t="s">
        <v>24</v>
      </c>
      <c r="C350" s="44" t="e">
        <f>IF(B350="","",VLOOKUP(B350,ORÇAMENTO!$B$7:C225,2,0))</f>
        <v>#N/A</v>
      </c>
      <c r="D350" s="44" t="s">
        <v>122</v>
      </c>
      <c r="E350" s="44" t="e">
        <f>IF(D350="","",VLOOKUP(D350,ORÇAMENTO!$B$7:$E$73,2,0))</f>
        <v>#N/A</v>
      </c>
      <c r="F350" s="44" t="s">
        <v>30</v>
      </c>
      <c r="G350" s="44"/>
      <c r="H350" s="45">
        <v>2</v>
      </c>
      <c r="I350" s="46">
        <v>22.05</v>
      </c>
      <c r="J350" s="46">
        <v>1</v>
      </c>
      <c r="K350" s="47">
        <v>1.2</v>
      </c>
      <c r="L350" s="51">
        <f t="shared" si="16"/>
        <v>52.92</v>
      </c>
    </row>
    <row r="351" spans="2:12" x14ac:dyDescent="0.2">
      <c r="B351" s="43" t="s">
        <v>24</v>
      </c>
      <c r="C351" s="44" t="e">
        <f>IF(B351="","",VLOOKUP(B351,ORÇAMENTO!$B$7:C226,2,0))</f>
        <v>#N/A</v>
      </c>
      <c r="D351" s="44" t="s">
        <v>122</v>
      </c>
      <c r="E351" s="44" t="e">
        <f>IF(D351="","",VLOOKUP(D351,ORÇAMENTO!$B$7:$E$73,2,0))</f>
        <v>#N/A</v>
      </c>
      <c r="F351" s="44" t="s">
        <v>30</v>
      </c>
      <c r="G351" s="44" t="s">
        <v>41</v>
      </c>
      <c r="H351" s="45">
        <v>2</v>
      </c>
      <c r="I351" s="46">
        <v>6.3</v>
      </c>
      <c r="J351" s="46">
        <v>1</v>
      </c>
      <c r="K351" s="47">
        <v>3</v>
      </c>
      <c r="L351" s="51">
        <f t="shared" si="16"/>
        <v>37.799999999999997</v>
      </c>
    </row>
    <row r="352" spans="2:12" x14ac:dyDescent="0.2">
      <c r="B352" s="43" t="s">
        <v>24</v>
      </c>
      <c r="C352" s="44" t="e">
        <f>IF(B352="","",VLOOKUP(B352,ORÇAMENTO!$B$7:C227,2,0))</f>
        <v>#N/A</v>
      </c>
      <c r="D352" s="44" t="s">
        <v>122</v>
      </c>
      <c r="E352" s="44" t="e">
        <f>IF(D352="","",VLOOKUP(D352,ORÇAMENTO!$B$7:$E$73,2,0))</f>
        <v>#N/A</v>
      </c>
      <c r="F352" s="44" t="s">
        <v>30</v>
      </c>
      <c r="G352" s="44"/>
      <c r="H352" s="45">
        <v>4</v>
      </c>
      <c r="I352" s="46">
        <v>1.5</v>
      </c>
      <c r="J352" s="46">
        <v>1</v>
      </c>
      <c r="K352" s="47">
        <v>2.8</v>
      </c>
      <c r="L352" s="51">
        <f t="shared" si="16"/>
        <v>16.799999999999997</v>
      </c>
    </row>
    <row r="353" spans="2:12" x14ac:dyDescent="0.2">
      <c r="B353" s="43" t="s">
        <v>24</v>
      </c>
      <c r="C353" s="44" t="e">
        <f>IF(B353="","",VLOOKUP(B353,ORÇAMENTO!$B$7:C228,2,0))</f>
        <v>#N/A</v>
      </c>
      <c r="D353" s="44" t="s">
        <v>122</v>
      </c>
      <c r="E353" s="44" t="e">
        <f>IF(D353="","",VLOOKUP(D353,ORÇAMENTO!$B$7:$E$73,2,0))</f>
        <v>#N/A</v>
      </c>
      <c r="F353" s="44" t="s">
        <v>30</v>
      </c>
      <c r="G353" s="44"/>
      <c r="H353" s="45">
        <v>2</v>
      </c>
      <c r="I353" s="46">
        <v>15.15</v>
      </c>
      <c r="J353" s="46">
        <v>1</v>
      </c>
      <c r="K353" s="47">
        <v>2.8</v>
      </c>
      <c r="L353" s="51">
        <f t="shared" si="16"/>
        <v>84.84</v>
      </c>
    </row>
    <row r="354" spans="2:12" x14ac:dyDescent="0.2">
      <c r="B354" s="43" t="s">
        <v>24</v>
      </c>
      <c r="C354" s="44" t="e">
        <f>IF(B354="","",VLOOKUP(B354,ORÇAMENTO!$B$7:C403,2,0))</f>
        <v>#N/A</v>
      </c>
      <c r="D354" s="44" t="s">
        <v>123</v>
      </c>
      <c r="E354" s="44" t="e">
        <f>IF(D354="","",VLOOKUP(D354,ORÇAMENTO!$B$7:$E$73,2,0))</f>
        <v>#N/A</v>
      </c>
      <c r="F354" s="63" t="s">
        <v>261</v>
      </c>
      <c r="G354" s="57"/>
      <c r="H354" s="45">
        <v>15</v>
      </c>
      <c r="I354" s="46">
        <v>1</v>
      </c>
      <c r="J354" s="46">
        <v>1</v>
      </c>
      <c r="K354" s="47">
        <v>20</v>
      </c>
      <c r="L354" s="64">
        <f t="shared" si="16"/>
        <v>300</v>
      </c>
    </row>
    <row r="355" spans="2:12" x14ac:dyDescent="0.2">
      <c r="B355" s="34" t="s">
        <v>20</v>
      </c>
      <c r="C355" s="35" t="str">
        <f>IF(B355="","",VLOOKUP(B355,ORÇAMENTO!$B$7:C218,2,0))</f>
        <v>INSTALAÇÕES PREDIAIS</v>
      </c>
      <c r="D355" s="35" t="s">
        <v>124</v>
      </c>
      <c r="E355" s="35" t="e">
        <f>IF(D355="","",VLOOKUP(D355,ORÇAMENTO!$B$7:$E$73,2,0))</f>
        <v>#N/A</v>
      </c>
      <c r="F355" s="35" t="s">
        <v>232</v>
      </c>
      <c r="G355" s="35"/>
      <c r="H355" s="56">
        <v>1</v>
      </c>
      <c r="I355" s="38">
        <v>1</v>
      </c>
      <c r="J355" s="38">
        <v>1</v>
      </c>
      <c r="K355" s="39">
        <v>22.18</v>
      </c>
      <c r="L355" s="40">
        <f t="shared" si="16"/>
        <v>22.18</v>
      </c>
    </row>
    <row r="356" spans="2:12" x14ac:dyDescent="0.2">
      <c r="B356" s="34" t="s">
        <v>20</v>
      </c>
      <c r="C356" s="35" t="str">
        <f>IF(B356="","",VLOOKUP(B356,ORÇAMENTO!$B$7:C222,2,0))</f>
        <v>INSTALAÇÕES PREDIAIS</v>
      </c>
      <c r="D356" s="35" t="s">
        <v>124</v>
      </c>
      <c r="E356" s="35" t="e">
        <f>IF(D356="","",VLOOKUP(D356,ORÇAMENTO!$B$7:$E$73,2,0))</f>
        <v>#N/A</v>
      </c>
      <c r="F356" s="35" t="s">
        <v>31</v>
      </c>
      <c r="G356" s="35" t="s">
        <v>54</v>
      </c>
      <c r="H356" s="56">
        <v>1</v>
      </c>
      <c r="I356" s="38">
        <v>1</v>
      </c>
      <c r="J356" s="38">
        <v>1</v>
      </c>
      <c r="K356" s="39">
        <v>14.17</v>
      </c>
      <c r="L356" s="40">
        <f t="shared" si="16"/>
        <v>14.17</v>
      </c>
    </row>
    <row r="357" spans="2:12" x14ac:dyDescent="0.2">
      <c r="B357" s="34" t="s">
        <v>20</v>
      </c>
      <c r="C357" s="35" t="str">
        <f>IF(B357="","",VLOOKUP(B357,ORÇAMENTO!$B$7:C262,2,0))</f>
        <v>INSTALAÇÕES PREDIAIS</v>
      </c>
      <c r="D357" s="35" t="s">
        <v>124</v>
      </c>
      <c r="E357" s="35" t="e">
        <f>IF(D357="","",VLOOKUP(D357,ORÇAMENTO!$B$7:$E$73,2,0))</f>
        <v>#N/A</v>
      </c>
      <c r="F357" s="35" t="s">
        <v>28</v>
      </c>
      <c r="G357" s="35" t="s">
        <v>54</v>
      </c>
      <c r="H357" s="56">
        <v>1</v>
      </c>
      <c r="I357" s="38">
        <v>1</v>
      </c>
      <c r="J357" s="38">
        <v>1</v>
      </c>
      <c r="K357" s="39">
        <v>255.04</v>
      </c>
      <c r="L357" s="40">
        <f t="shared" si="16"/>
        <v>255.04</v>
      </c>
    </row>
    <row r="358" spans="2:12" x14ac:dyDescent="0.2">
      <c r="B358" s="34" t="s">
        <v>20</v>
      </c>
      <c r="C358" s="35" t="str">
        <f>IF(B358="","",VLOOKUP(B358,ORÇAMENTO!$B$7:C272,2,0))</f>
        <v>INSTALAÇÕES PREDIAIS</v>
      </c>
      <c r="D358" s="35" t="s">
        <v>124</v>
      </c>
      <c r="E358" s="35" t="e">
        <f>IF(D358="","",VLOOKUP(D358,ORÇAMENTO!$B$7:$E$73,2,0))</f>
        <v>#N/A</v>
      </c>
      <c r="F358" s="35" t="s">
        <v>29</v>
      </c>
      <c r="G358" s="35" t="s">
        <v>54</v>
      </c>
      <c r="H358" s="56">
        <v>5</v>
      </c>
      <c r="I358" s="38">
        <v>1</v>
      </c>
      <c r="J358" s="38">
        <v>1</v>
      </c>
      <c r="K358" s="39">
        <v>154.03</v>
      </c>
      <c r="L358" s="40">
        <f t="shared" si="16"/>
        <v>770.15</v>
      </c>
    </row>
    <row r="359" spans="2:12" x14ac:dyDescent="0.2">
      <c r="B359" s="34" t="s">
        <v>20</v>
      </c>
      <c r="C359" s="35" t="str">
        <f>IF(B359="","",VLOOKUP(B359,ORÇAMENTO!$B$7:C283,2,0))</f>
        <v>INSTALAÇÕES PREDIAIS</v>
      </c>
      <c r="D359" s="35" t="s">
        <v>124</v>
      </c>
      <c r="E359" s="35" t="e">
        <f>IF(D359="","",VLOOKUP(D359,ORÇAMENTO!$B$7:$E$73,2,0))</f>
        <v>#N/A</v>
      </c>
      <c r="F359" s="35" t="s">
        <v>34</v>
      </c>
      <c r="G359" s="35" t="s">
        <v>54</v>
      </c>
      <c r="H359" s="56">
        <v>1</v>
      </c>
      <c r="I359" s="38">
        <v>1</v>
      </c>
      <c r="J359" s="38">
        <v>1</v>
      </c>
      <c r="K359" s="39">
        <v>154.03</v>
      </c>
      <c r="L359" s="40">
        <f t="shared" si="16"/>
        <v>154.03</v>
      </c>
    </row>
    <row r="360" spans="2:12" x14ac:dyDescent="0.2">
      <c r="B360" s="34" t="s">
        <v>20</v>
      </c>
      <c r="C360" s="35" t="str">
        <f>IF(B360="","",VLOOKUP(B360,ORÇAMENTO!$B$7:C294,2,0))</f>
        <v>INSTALAÇÕES PREDIAIS</v>
      </c>
      <c r="D360" s="35" t="s">
        <v>124</v>
      </c>
      <c r="E360" s="35" t="e">
        <f>IF(D360="","",VLOOKUP(D360,ORÇAMENTO!$B$7:$E$73,2,0))</f>
        <v>#N/A</v>
      </c>
      <c r="F360" s="35" t="s">
        <v>15</v>
      </c>
      <c r="G360" s="35" t="s">
        <v>54</v>
      </c>
      <c r="H360" s="56">
        <v>1</v>
      </c>
      <c r="I360" s="38">
        <v>1</v>
      </c>
      <c r="J360" s="38">
        <v>1</v>
      </c>
      <c r="K360" s="39">
        <v>146.30000000000001</v>
      </c>
      <c r="L360" s="40">
        <f t="shared" si="16"/>
        <v>146.30000000000001</v>
      </c>
    </row>
    <row r="361" spans="2:12" x14ac:dyDescent="0.2">
      <c r="B361" s="34" t="s">
        <v>20</v>
      </c>
      <c r="C361" s="35" t="str">
        <f>IF(B361="","",VLOOKUP(B361,ORÇAMENTO!$B$7:C298,2,0))</f>
        <v>INSTALAÇÕES PREDIAIS</v>
      </c>
      <c r="D361" s="35" t="s">
        <v>124</v>
      </c>
      <c r="E361" s="35" t="e">
        <f>IF(D361="","",VLOOKUP(D361,ORÇAMENTO!$B$7:$E$73,2,0))</f>
        <v>#N/A</v>
      </c>
      <c r="F361" s="35" t="s">
        <v>30</v>
      </c>
      <c r="G361" s="35" t="s">
        <v>54</v>
      </c>
      <c r="H361" s="56">
        <v>1</v>
      </c>
      <c r="I361" s="38">
        <v>1</v>
      </c>
      <c r="J361" s="38">
        <v>1</v>
      </c>
      <c r="K361" s="39">
        <v>31.12</v>
      </c>
      <c r="L361" s="40">
        <f t="shared" si="16"/>
        <v>31.12</v>
      </c>
    </row>
    <row r="362" spans="2:12" x14ac:dyDescent="0.2">
      <c r="B362" s="34" t="s">
        <v>20</v>
      </c>
      <c r="C362" s="35" t="str">
        <f>IF(B362="","",VLOOKUP(B362,ORÇAMENTO!$B$7:C223,2,0))</f>
        <v>INSTALAÇÕES PREDIAIS</v>
      </c>
      <c r="D362" s="35" t="s">
        <v>125</v>
      </c>
      <c r="E362" s="35" t="e">
        <f>IF(D362="","",VLOOKUP(D362,ORÇAMENTO!$B$7:$E$73,2,0))</f>
        <v>#N/A</v>
      </c>
      <c r="F362" s="35" t="s">
        <v>31</v>
      </c>
      <c r="G362" s="35" t="s">
        <v>54</v>
      </c>
      <c r="H362" s="56">
        <v>1</v>
      </c>
      <c r="I362" s="38">
        <v>1</v>
      </c>
      <c r="J362" s="38">
        <v>1</v>
      </c>
      <c r="K362" s="39">
        <v>209.35</v>
      </c>
      <c r="L362" s="40">
        <f t="shared" si="16"/>
        <v>209.35</v>
      </c>
    </row>
    <row r="363" spans="2:12" x14ac:dyDescent="0.2">
      <c r="B363" s="34" t="s">
        <v>20</v>
      </c>
      <c r="C363" s="35" t="str">
        <f>IF(B363="","",VLOOKUP(B363,ORÇAMENTO!$B$7:C220,2,0))</f>
        <v>INSTALAÇÕES PREDIAIS</v>
      </c>
      <c r="D363" s="35" t="s">
        <v>126</v>
      </c>
      <c r="E363" s="35" t="e">
        <f>IF(D363="","",VLOOKUP(D363,ORÇAMENTO!$B$7:$E$73,2,0))</f>
        <v>#N/A</v>
      </c>
      <c r="F363" s="35" t="s">
        <v>232</v>
      </c>
      <c r="G363" s="35" t="s">
        <v>40</v>
      </c>
      <c r="H363" s="56">
        <v>1</v>
      </c>
      <c r="I363" s="38">
        <v>1</v>
      </c>
      <c r="J363" s="38">
        <v>1</v>
      </c>
      <c r="K363" s="39">
        <v>218.29</v>
      </c>
      <c r="L363" s="40">
        <f t="shared" si="16"/>
        <v>218.29</v>
      </c>
    </row>
    <row r="364" spans="2:12" x14ac:dyDescent="0.2">
      <c r="B364" s="34" t="s">
        <v>20</v>
      </c>
      <c r="C364" s="35" t="str">
        <f>IF(B364="","",VLOOKUP(B364,ORÇAMENTO!$B$7:C224,2,0))</f>
        <v>INSTALAÇÕES PREDIAIS</v>
      </c>
      <c r="D364" s="35" t="s">
        <v>126</v>
      </c>
      <c r="E364" s="35" t="e">
        <f>IF(D364="","",VLOOKUP(D364,ORÇAMENTO!$B$7:$E$73,2,0))</f>
        <v>#N/A</v>
      </c>
      <c r="F364" s="35" t="s">
        <v>31</v>
      </c>
      <c r="G364" s="35" t="s">
        <v>41</v>
      </c>
      <c r="H364" s="56">
        <v>1</v>
      </c>
      <c r="I364" s="38">
        <v>1</v>
      </c>
      <c r="J364" s="38">
        <v>1</v>
      </c>
      <c r="K364" s="39">
        <v>8.5510000000000002</v>
      </c>
      <c r="L364" s="40">
        <f t="shared" si="16"/>
        <v>8.5510000000000002</v>
      </c>
    </row>
    <row r="365" spans="2:12" x14ac:dyDescent="0.2">
      <c r="B365" s="34" t="s">
        <v>20</v>
      </c>
      <c r="C365" s="35" t="str">
        <f>IF(B365="","",VLOOKUP(B365,ORÇAMENTO!$B$7:C225,2,0))</f>
        <v>INSTALAÇÕES PREDIAIS</v>
      </c>
      <c r="D365" s="35" t="s">
        <v>126</v>
      </c>
      <c r="E365" s="35" t="e">
        <f>IF(D365="","",VLOOKUP(D365,ORÇAMENTO!$B$7:$E$73,2,0))</f>
        <v>#N/A</v>
      </c>
      <c r="F365" s="35" t="s">
        <v>31</v>
      </c>
      <c r="G365" s="35" t="s">
        <v>41</v>
      </c>
      <c r="H365" s="56">
        <v>14</v>
      </c>
      <c r="I365" s="38">
        <v>1.2</v>
      </c>
      <c r="J365" s="38">
        <v>0.15</v>
      </c>
      <c r="K365" s="39">
        <v>1</v>
      </c>
      <c r="L365" s="40">
        <f t="shared" si="16"/>
        <v>2.52</v>
      </c>
    </row>
    <row r="366" spans="2:12" x14ac:dyDescent="0.2">
      <c r="B366" s="34" t="s">
        <v>20</v>
      </c>
      <c r="C366" s="35" t="str">
        <f>IF(B366="","",VLOOKUP(B366,ORÇAMENTO!$B$7:C263,2,0))</f>
        <v>INSTALAÇÕES PREDIAIS</v>
      </c>
      <c r="D366" s="35" t="s">
        <v>126</v>
      </c>
      <c r="E366" s="35" t="e">
        <f>IF(D366="","",VLOOKUP(D366,ORÇAMENTO!$B$7:$E$73,2,0))</f>
        <v>#N/A</v>
      </c>
      <c r="F366" s="35" t="s">
        <v>28</v>
      </c>
      <c r="G366" s="35" t="s">
        <v>41</v>
      </c>
      <c r="H366" s="56">
        <v>14</v>
      </c>
      <c r="I366" s="38">
        <v>1.2</v>
      </c>
      <c r="J366" s="38">
        <v>1</v>
      </c>
      <c r="K366" s="39">
        <v>0.15</v>
      </c>
      <c r="L366" s="40">
        <f t="shared" si="16"/>
        <v>2.52</v>
      </c>
    </row>
    <row r="367" spans="2:12" x14ac:dyDescent="0.2">
      <c r="B367" s="34" t="s">
        <v>20</v>
      </c>
      <c r="C367" s="35" t="str">
        <f>IF(B367="","",VLOOKUP(B367,ORÇAMENTO!$B$7:C264,2,0))</f>
        <v>INSTALAÇÕES PREDIAIS</v>
      </c>
      <c r="D367" s="35" t="s">
        <v>126</v>
      </c>
      <c r="E367" s="35" t="e">
        <f>IF(D367="","",VLOOKUP(D367,ORÇAMENTO!$B$7:$E$73,2,0))</f>
        <v>#N/A</v>
      </c>
      <c r="F367" s="35" t="s">
        <v>28</v>
      </c>
      <c r="G367" s="35" t="s">
        <v>41</v>
      </c>
      <c r="H367" s="56">
        <v>1</v>
      </c>
      <c r="I367" s="38">
        <v>1</v>
      </c>
      <c r="J367" s="38">
        <v>1</v>
      </c>
      <c r="K367" s="39">
        <v>8.5500000000000007</v>
      </c>
      <c r="L367" s="40">
        <f t="shared" si="16"/>
        <v>8.5500000000000007</v>
      </c>
    </row>
    <row r="368" spans="2:12" x14ac:dyDescent="0.2">
      <c r="B368" s="34" t="s">
        <v>20</v>
      </c>
      <c r="C368" s="35" t="str">
        <f>IF(B368="","",VLOOKUP(B368,ORÇAMENTO!$B$7:C265,2,0))</f>
        <v>INSTALAÇÕES PREDIAIS</v>
      </c>
      <c r="D368" s="35" t="s">
        <v>126</v>
      </c>
      <c r="E368" s="35" t="e">
        <f>IF(D368="","",VLOOKUP(D368,ORÇAMENTO!$B$7:$E$73,2,0))</f>
        <v>#N/A</v>
      </c>
      <c r="F368" s="35" t="s">
        <v>28</v>
      </c>
      <c r="G368" s="35" t="s">
        <v>54</v>
      </c>
      <c r="H368" s="56">
        <v>1</v>
      </c>
      <c r="I368" s="38">
        <v>1</v>
      </c>
      <c r="J368" s="38">
        <v>1</v>
      </c>
      <c r="K368" s="39">
        <v>262.48</v>
      </c>
      <c r="L368" s="40">
        <f t="shared" si="16"/>
        <v>262.48</v>
      </c>
    </row>
    <row r="369" spans="2:12" x14ac:dyDescent="0.2">
      <c r="B369" s="34" t="s">
        <v>20</v>
      </c>
      <c r="C369" s="35" t="str">
        <f>IF(B369="","",VLOOKUP(B369,ORÇAMENTO!$B$7:C273,2,0))</f>
        <v>INSTALAÇÕES PREDIAIS</v>
      </c>
      <c r="D369" s="35" t="s">
        <v>126</v>
      </c>
      <c r="E369" s="35" t="e">
        <f>IF(D369="","",VLOOKUP(D369,ORÇAMENTO!$B$7:$E$73,2,0))</f>
        <v>#N/A</v>
      </c>
      <c r="F369" s="35" t="s">
        <v>29</v>
      </c>
      <c r="G369" s="35" t="s">
        <v>41</v>
      </c>
      <c r="H369" s="56">
        <v>1</v>
      </c>
      <c r="I369" s="38">
        <v>1</v>
      </c>
      <c r="J369" s="38">
        <v>1</v>
      </c>
      <c r="K369" s="39">
        <v>8.5500000000000007</v>
      </c>
      <c r="L369" s="40">
        <f t="shared" si="16"/>
        <v>8.5500000000000007</v>
      </c>
    </row>
    <row r="370" spans="2:12" x14ac:dyDescent="0.2">
      <c r="B370" s="34" t="s">
        <v>20</v>
      </c>
      <c r="C370" s="35" t="str">
        <f>IF(B370="","",VLOOKUP(B370,ORÇAMENTO!$B$7:C274,2,0))</f>
        <v>INSTALAÇÕES PREDIAIS</v>
      </c>
      <c r="D370" s="35" t="s">
        <v>126</v>
      </c>
      <c r="E370" s="35" t="e">
        <f>IF(D370="","",VLOOKUP(D370,ORÇAMENTO!$B$7:$E$73,2,0))</f>
        <v>#N/A</v>
      </c>
      <c r="F370" s="35" t="s">
        <v>29</v>
      </c>
      <c r="G370" s="35" t="s">
        <v>41</v>
      </c>
      <c r="H370" s="56">
        <f>14*5</f>
        <v>70</v>
      </c>
      <c r="I370" s="38">
        <v>1.2</v>
      </c>
      <c r="J370" s="38">
        <v>1</v>
      </c>
      <c r="K370" s="39">
        <v>0.15</v>
      </c>
      <c r="L370" s="40">
        <f t="shared" si="16"/>
        <v>12.6</v>
      </c>
    </row>
    <row r="371" spans="2:12" x14ac:dyDescent="0.2">
      <c r="B371" s="34" t="s">
        <v>20</v>
      </c>
      <c r="C371" s="35" t="str">
        <f>IF(B371="","",VLOOKUP(B371,ORÇAMENTO!$B$7:C275,2,0))</f>
        <v>INSTALAÇÕES PREDIAIS</v>
      </c>
      <c r="D371" s="35" t="s">
        <v>126</v>
      </c>
      <c r="E371" s="35" t="e">
        <f>IF(D371="","",VLOOKUP(D371,ORÇAMENTO!$B$7:$E$73,2,0))</f>
        <v>#N/A</v>
      </c>
      <c r="F371" s="35" t="s">
        <v>29</v>
      </c>
      <c r="G371" s="35" t="s">
        <v>67</v>
      </c>
      <c r="H371" s="56">
        <f>5*1</f>
        <v>5</v>
      </c>
      <c r="I371" s="38">
        <v>2.5</v>
      </c>
      <c r="J371" s="38">
        <v>1</v>
      </c>
      <c r="K371" s="39">
        <v>1.8</v>
      </c>
      <c r="L371" s="40">
        <f t="shared" si="16"/>
        <v>22.5</v>
      </c>
    </row>
    <row r="372" spans="2:12" x14ac:dyDescent="0.2">
      <c r="B372" s="34" t="s">
        <v>20</v>
      </c>
      <c r="C372" s="35" t="str">
        <f>IF(B372="","",VLOOKUP(B372,ORÇAMENTO!$B$7:C284,2,0))</f>
        <v>INSTALAÇÕES PREDIAIS</v>
      </c>
      <c r="D372" s="35" t="s">
        <v>126</v>
      </c>
      <c r="E372" s="35" t="e">
        <f>IF(D372="","",VLOOKUP(D372,ORÇAMENTO!$B$7:$E$73,2,0))</f>
        <v>#N/A</v>
      </c>
      <c r="F372" s="35" t="s">
        <v>34</v>
      </c>
      <c r="G372" s="35" t="s">
        <v>41</v>
      </c>
      <c r="H372" s="56">
        <v>1</v>
      </c>
      <c r="I372" s="38">
        <v>1</v>
      </c>
      <c r="J372" s="38">
        <v>1</v>
      </c>
      <c r="K372" s="39">
        <v>8.5500000000000007</v>
      </c>
      <c r="L372" s="40">
        <f t="shared" si="16"/>
        <v>8.5500000000000007</v>
      </c>
    </row>
    <row r="373" spans="2:12" x14ac:dyDescent="0.2">
      <c r="B373" s="34" t="s">
        <v>20</v>
      </c>
      <c r="C373" s="35" t="str">
        <f>IF(B373="","",VLOOKUP(B373,ORÇAMENTO!$B$7:C285,2,0))</f>
        <v>INSTALAÇÕES PREDIAIS</v>
      </c>
      <c r="D373" s="35" t="s">
        <v>126</v>
      </c>
      <c r="E373" s="35" t="e">
        <f>IF(D373="","",VLOOKUP(D373,ORÇAMENTO!$B$7:$E$73,2,0))</f>
        <v>#N/A</v>
      </c>
      <c r="F373" s="35" t="s">
        <v>34</v>
      </c>
      <c r="G373" s="35" t="s">
        <v>41</v>
      </c>
      <c r="H373" s="56">
        <v>14</v>
      </c>
      <c r="I373" s="38">
        <v>1.2</v>
      </c>
      <c r="J373" s="38">
        <v>1</v>
      </c>
      <c r="K373" s="39">
        <v>0.15</v>
      </c>
      <c r="L373" s="40">
        <f t="shared" si="16"/>
        <v>2.52</v>
      </c>
    </row>
    <row r="374" spans="2:12" x14ac:dyDescent="0.2">
      <c r="B374" s="34" t="s">
        <v>20</v>
      </c>
      <c r="C374" s="35" t="str">
        <f>IF(B374="","",VLOOKUP(B374,ORÇAMENTO!$B$7:C286,2,0))</f>
        <v>INSTALAÇÕES PREDIAIS</v>
      </c>
      <c r="D374" s="35" t="s">
        <v>126</v>
      </c>
      <c r="E374" s="35" t="e">
        <f>IF(D374="","",VLOOKUP(D374,ORÇAMENTO!$B$7:$E$73,2,0))</f>
        <v>#N/A</v>
      </c>
      <c r="F374" s="35" t="s">
        <v>34</v>
      </c>
      <c r="G374" s="35" t="s">
        <v>67</v>
      </c>
      <c r="H374" s="56">
        <v>1</v>
      </c>
      <c r="I374" s="38">
        <v>2.5</v>
      </c>
      <c r="J374" s="38">
        <v>1</v>
      </c>
      <c r="K374" s="39">
        <v>1.8</v>
      </c>
      <c r="L374" s="40">
        <f t="shared" si="16"/>
        <v>4.5</v>
      </c>
    </row>
    <row r="375" spans="2:12" x14ac:dyDescent="0.2">
      <c r="B375" s="34" t="s">
        <v>20</v>
      </c>
      <c r="C375" s="35" t="str">
        <f>IF(B375="","",VLOOKUP(B375,ORÇAMENTO!$B$7:C295,2,0))</f>
        <v>INSTALAÇÕES PREDIAIS</v>
      </c>
      <c r="D375" s="35" t="s">
        <v>126</v>
      </c>
      <c r="E375" s="35" t="e">
        <f>IF(D375="","",VLOOKUP(D375,ORÇAMENTO!$B$7:$E$73,2,0))</f>
        <v>#N/A</v>
      </c>
      <c r="F375" s="35" t="s">
        <v>15</v>
      </c>
      <c r="G375" s="35" t="s">
        <v>41</v>
      </c>
      <c r="H375" s="56">
        <v>1</v>
      </c>
      <c r="I375" s="38">
        <v>1</v>
      </c>
      <c r="J375" s="38">
        <v>1</v>
      </c>
      <c r="K375" s="39">
        <v>8.5500000000000007</v>
      </c>
      <c r="L375" s="40">
        <f t="shared" si="16"/>
        <v>8.5500000000000007</v>
      </c>
    </row>
    <row r="376" spans="2:12" x14ac:dyDescent="0.2">
      <c r="B376" s="34" t="s">
        <v>20</v>
      </c>
      <c r="C376" s="35" t="str">
        <f>IF(B376="","",VLOOKUP(B376,ORÇAMENTO!$B$7:C296,2,0))</f>
        <v>INSTALAÇÕES PREDIAIS</v>
      </c>
      <c r="D376" s="35" t="s">
        <v>126</v>
      </c>
      <c r="E376" s="35" t="e">
        <f>IF(D376="","",VLOOKUP(D376,ORÇAMENTO!$B$7:$E$73,2,0))</f>
        <v>#N/A</v>
      </c>
      <c r="F376" s="35" t="s">
        <v>15</v>
      </c>
      <c r="G376" s="35" t="s">
        <v>41</v>
      </c>
      <c r="H376" s="56">
        <v>14</v>
      </c>
      <c r="I376" s="38">
        <v>1.2</v>
      </c>
      <c r="J376" s="38">
        <v>1</v>
      </c>
      <c r="K376" s="39">
        <v>0.15</v>
      </c>
      <c r="L376" s="40">
        <f t="shared" si="16"/>
        <v>2.52</v>
      </c>
    </row>
    <row r="377" spans="2:12" x14ac:dyDescent="0.2">
      <c r="B377" s="34" t="s">
        <v>20</v>
      </c>
      <c r="C377" s="35" t="str">
        <f>IF(B377="","",VLOOKUP(B377,ORÇAMENTO!$B$7:C299,2,0))</f>
        <v>INSTALAÇÕES PREDIAIS</v>
      </c>
      <c r="D377" s="35" t="s">
        <v>126</v>
      </c>
      <c r="E377" s="35" t="e">
        <f>IF(D377="","",VLOOKUP(D377,ORÇAMENTO!$B$7:$E$73,2,0))</f>
        <v>#N/A</v>
      </c>
      <c r="F377" s="35" t="s">
        <v>30</v>
      </c>
      <c r="G377" s="35"/>
      <c r="H377" s="56">
        <v>1</v>
      </c>
      <c r="I377" s="38">
        <v>1</v>
      </c>
      <c r="J377" s="38">
        <v>1</v>
      </c>
      <c r="K377" s="39">
        <v>34.11</v>
      </c>
      <c r="L377" s="40">
        <f t="shared" si="16"/>
        <v>34.11</v>
      </c>
    </row>
    <row r="378" spans="2:12" x14ac:dyDescent="0.2">
      <c r="B378" s="34" t="s">
        <v>20</v>
      </c>
      <c r="C378" s="35" t="str">
        <f>IF(B378="","",VLOOKUP(B378,ORÇAMENTO!$B$7:C226,2,0))</f>
        <v>INSTALAÇÕES PREDIAIS</v>
      </c>
      <c r="D378" s="35" t="s">
        <v>127</v>
      </c>
      <c r="E378" s="35" t="e">
        <f>IF(D378="","",VLOOKUP(D378,ORÇAMENTO!$B$7:$E$73,2,0))</f>
        <v>#N/A</v>
      </c>
      <c r="F378" s="35" t="s">
        <v>31</v>
      </c>
      <c r="G378" s="35" t="s">
        <v>55</v>
      </c>
      <c r="H378" s="56">
        <v>1</v>
      </c>
      <c r="I378" s="38">
        <v>1</v>
      </c>
      <c r="J378" s="38">
        <v>1</v>
      </c>
      <c r="K378" s="39">
        <v>10.029999999999999</v>
      </c>
      <c r="L378" s="40">
        <f t="shared" ref="L378:L409" si="17">H378*I378*J378*K378</f>
        <v>10.029999999999999</v>
      </c>
    </row>
    <row r="379" spans="2:12" x14ac:dyDescent="0.2">
      <c r="B379" s="34" t="s">
        <v>20</v>
      </c>
      <c r="C379" s="35" t="str">
        <f>IF(B379="","",VLOOKUP(B379,ORÇAMENTO!$B$7:C281,2,0))</f>
        <v>INSTALAÇÕES PREDIAIS</v>
      </c>
      <c r="D379" s="35" t="s">
        <v>127</v>
      </c>
      <c r="E379" s="35" t="e">
        <f>IF(D379="","",VLOOKUP(D379,ORÇAMENTO!$B$7:$E$73,2,0))</f>
        <v>#N/A</v>
      </c>
      <c r="F379" s="35" t="s">
        <v>29</v>
      </c>
      <c r="G379" s="35" t="s">
        <v>55</v>
      </c>
      <c r="H379" s="56">
        <v>5</v>
      </c>
      <c r="I379" s="38">
        <v>1</v>
      </c>
      <c r="J379" s="38">
        <v>1</v>
      </c>
      <c r="K379" s="39">
        <v>3</v>
      </c>
      <c r="L379" s="40">
        <f t="shared" si="17"/>
        <v>15</v>
      </c>
    </row>
    <row r="380" spans="2:12" x14ac:dyDescent="0.2">
      <c r="B380" s="34" t="s">
        <v>20</v>
      </c>
      <c r="C380" s="35" t="str">
        <f>IF(B380="","",VLOOKUP(B380,ORÇAMENTO!$B$7:C292,2,0))</f>
        <v>INSTALAÇÕES PREDIAIS</v>
      </c>
      <c r="D380" s="35" t="s">
        <v>127</v>
      </c>
      <c r="E380" s="35" t="e">
        <f>IF(D380="","",VLOOKUP(D380,ORÇAMENTO!$B$7:$E$73,2,0))</f>
        <v>#N/A</v>
      </c>
      <c r="F380" s="35" t="s">
        <v>34</v>
      </c>
      <c r="G380" s="35" t="s">
        <v>55</v>
      </c>
      <c r="H380" s="56">
        <v>1</v>
      </c>
      <c r="I380" s="38">
        <v>1</v>
      </c>
      <c r="J380" s="38">
        <v>1</v>
      </c>
      <c r="K380" s="39">
        <v>3</v>
      </c>
      <c r="L380" s="40">
        <f t="shared" si="17"/>
        <v>3</v>
      </c>
    </row>
    <row r="381" spans="2:12" x14ac:dyDescent="0.2">
      <c r="B381" s="34" t="s">
        <v>20</v>
      </c>
      <c r="C381" s="35" t="str">
        <f>IF(B381="","",VLOOKUP(B381,ORÇAMENTO!$B$7:C227,2,0))</f>
        <v>INSTALAÇÕES PREDIAIS</v>
      </c>
      <c r="D381" s="35" t="s">
        <v>128</v>
      </c>
      <c r="E381" s="35" t="e">
        <f>IF(D381="","",VLOOKUP(D381,ORÇAMENTO!$B$7:$E$73,2,0))</f>
        <v>#N/A</v>
      </c>
      <c r="F381" s="35" t="s">
        <v>31</v>
      </c>
      <c r="G381" s="35" t="s">
        <v>56</v>
      </c>
      <c r="H381" s="56">
        <v>1</v>
      </c>
      <c r="I381" s="38">
        <v>1</v>
      </c>
      <c r="J381" s="38">
        <v>1</v>
      </c>
      <c r="K381" s="39">
        <v>7.35</v>
      </c>
      <c r="L381" s="40">
        <f t="shared" si="17"/>
        <v>7.35</v>
      </c>
    </row>
    <row r="382" spans="2:12" x14ac:dyDescent="0.2">
      <c r="B382" s="34" t="s">
        <v>20</v>
      </c>
      <c r="C382" s="35" t="str">
        <f>IF(B382="","",VLOOKUP(B382,ORÇAMENTO!$B$7:C272,2,0))</f>
        <v>INSTALAÇÕES PREDIAIS</v>
      </c>
      <c r="D382" s="35" t="s">
        <v>128</v>
      </c>
      <c r="E382" s="35" t="e">
        <f>IF(D382="","",VLOOKUP(D382,ORÇAMENTO!$B$7:$E$73,2,0))</f>
        <v>#N/A</v>
      </c>
      <c r="F382" s="35" t="s">
        <v>28</v>
      </c>
      <c r="G382" s="35" t="s">
        <v>66</v>
      </c>
      <c r="H382" s="56">
        <v>1</v>
      </c>
      <c r="I382" s="38">
        <v>1</v>
      </c>
      <c r="J382" s="38">
        <v>1</v>
      </c>
      <c r="K382" s="39">
        <v>17.09</v>
      </c>
      <c r="L382" s="40">
        <f t="shared" si="17"/>
        <v>17.09</v>
      </c>
    </row>
    <row r="383" spans="2:12" x14ac:dyDescent="0.2">
      <c r="B383" s="34" t="s">
        <v>20</v>
      </c>
      <c r="C383" s="35" t="str">
        <f>IF(B383="","",VLOOKUP(B383,ORÇAMENTO!$B$7:C273,2,0))</f>
        <v>INSTALAÇÕES PREDIAIS</v>
      </c>
      <c r="D383" s="35" t="s">
        <v>128</v>
      </c>
      <c r="E383" s="35" t="e">
        <f>IF(D383="","",VLOOKUP(D383,ORÇAMENTO!$B$7:$E$73,2,0))</f>
        <v>#N/A</v>
      </c>
      <c r="F383" s="35" t="s">
        <v>28</v>
      </c>
      <c r="G383" s="35" t="s">
        <v>66</v>
      </c>
      <c r="H383" s="56">
        <v>1</v>
      </c>
      <c r="I383" s="38">
        <v>1</v>
      </c>
      <c r="J383" s="38">
        <v>1</v>
      </c>
      <c r="K383" s="39">
        <v>5.88</v>
      </c>
      <c r="L383" s="40">
        <f t="shared" si="17"/>
        <v>5.88</v>
      </c>
    </row>
    <row r="384" spans="2:12" x14ac:dyDescent="0.2">
      <c r="B384" s="34" t="s">
        <v>20</v>
      </c>
      <c r="C384" s="35" t="str">
        <f>IF(B384="","",VLOOKUP(B384,ORÇAMENTO!$B$7:C274,2,0))</f>
        <v>INSTALAÇÕES PREDIAIS</v>
      </c>
      <c r="D384" s="35" t="s">
        <v>128</v>
      </c>
      <c r="E384" s="35" t="e">
        <f>IF(D384="","",VLOOKUP(D384,ORÇAMENTO!$B$7:$E$73,2,0))</f>
        <v>#N/A</v>
      </c>
      <c r="F384" s="35" t="s">
        <v>28</v>
      </c>
      <c r="G384" s="35" t="s">
        <v>66</v>
      </c>
      <c r="H384" s="56">
        <v>1</v>
      </c>
      <c r="I384" s="38">
        <v>1</v>
      </c>
      <c r="J384" s="38">
        <v>1</v>
      </c>
      <c r="K384" s="39">
        <v>4.03</v>
      </c>
      <c r="L384" s="40">
        <f t="shared" si="17"/>
        <v>4.03</v>
      </c>
    </row>
    <row r="385" spans="2:12" x14ac:dyDescent="0.2">
      <c r="B385" s="34" t="s">
        <v>20</v>
      </c>
      <c r="C385" s="35" t="str">
        <f>IF(B385="","",VLOOKUP(B385,ORÇAMENTO!$B$7:C275,2,0))</f>
        <v>INSTALAÇÕES PREDIAIS</v>
      </c>
      <c r="D385" s="35" t="s">
        <v>128</v>
      </c>
      <c r="E385" s="35" t="e">
        <f>IF(D385="","",VLOOKUP(D385,ORÇAMENTO!$B$7:$E$73,2,0))</f>
        <v>#N/A</v>
      </c>
      <c r="F385" s="35" t="s">
        <v>28</v>
      </c>
      <c r="G385" s="35" t="s">
        <v>66</v>
      </c>
      <c r="H385" s="56">
        <v>1</v>
      </c>
      <c r="I385" s="38">
        <v>1</v>
      </c>
      <c r="J385" s="38">
        <v>1</v>
      </c>
      <c r="K385" s="39">
        <v>11.36</v>
      </c>
      <c r="L385" s="40">
        <f t="shared" si="17"/>
        <v>11.36</v>
      </c>
    </row>
    <row r="386" spans="2:12" x14ac:dyDescent="0.2">
      <c r="B386" s="34" t="s">
        <v>20</v>
      </c>
      <c r="C386" s="35" t="str">
        <f>IF(B386="","",VLOOKUP(B386,ORÇAMENTO!$B$7:C276,2,0))</f>
        <v>INSTALAÇÕES PREDIAIS</v>
      </c>
      <c r="D386" s="35" t="s">
        <v>128</v>
      </c>
      <c r="E386" s="35" t="e">
        <f>IF(D386="","",VLOOKUP(D386,ORÇAMENTO!$B$7:$E$73,2,0))</f>
        <v>#N/A</v>
      </c>
      <c r="F386" s="35" t="s">
        <v>28</v>
      </c>
      <c r="G386" s="35" t="s">
        <v>58</v>
      </c>
      <c r="H386" s="56">
        <v>1</v>
      </c>
      <c r="I386" s="38">
        <v>1</v>
      </c>
      <c r="J386" s="38">
        <v>1</v>
      </c>
      <c r="K386" s="39">
        <v>3.11</v>
      </c>
      <c r="L386" s="40">
        <f t="shared" si="17"/>
        <v>3.11</v>
      </c>
    </row>
    <row r="387" spans="2:12" x14ac:dyDescent="0.2">
      <c r="B387" s="34" t="s">
        <v>20</v>
      </c>
      <c r="C387" s="35" t="str">
        <f>IF(B387="","",VLOOKUP(B387,ORÇAMENTO!$B$7:C277,2,0))</f>
        <v>INSTALAÇÕES PREDIAIS</v>
      </c>
      <c r="D387" s="35" t="s">
        <v>128</v>
      </c>
      <c r="E387" s="35" t="e">
        <f>IF(D387="","",VLOOKUP(D387,ORÇAMENTO!$B$7:$E$73,2,0))</f>
        <v>#N/A</v>
      </c>
      <c r="F387" s="35" t="s">
        <v>28</v>
      </c>
      <c r="G387" s="35" t="s">
        <v>57</v>
      </c>
      <c r="H387" s="56">
        <v>1</v>
      </c>
      <c r="I387" s="38">
        <v>1</v>
      </c>
      <c r="J387" s="38">
        <v>1</v>
      </c>
      <c r="K387" s="39">
        <v>4.8499999999999996</v>
      </c>
      <c r="L387" s="40">
        <f t="shared" si="17"/>
        <v>4.8499999999999996</v>
      </c>
    </row>
    <row r="388" spans="2:12" x14ac:dyDescent="0.2">
      <c r="B388" s="34" t="s">
        <v>20</v>
      </c>
      <c r="C388" s="35" t="str">
        <f>IF(B388="","",VLOOKUP(B388,ORÇAMENTO!$B$7:C283,2,0))</f>
        <v>INSTALAÇÕES PREDIAIS</v>
      </c>
      <c r="D388" s="35" t="s">
        <v>128</v>
      </c>
      <c r="E388" s="35" t="e">
        <f>IF(D388="","",VLOOKUP(D388,ORÇAMENTO!$B$7:$E$73,2,0))</f>
        <v>#N/A</v>
      </c>
      <c r="F388" s="35" t="s">
        <v>29</v>
      </c>
      <c r="G388" s="60" t="s">
        <v>56</v>
      </c>
      <c r="H388" s="56">
        <v>5</v>
      </c>
      <c r="I388" s="38">
        <v>1</v>
      </c>
      <c r="J388" s="38">
        <v>1</v>
      </c>
      <c r="K388" s="39">
        <v>2.39</v>
      </c>
      <c r="L388" s="40">
        <f t="shared" si="17"/>
        <v>11.950000000000001</v>
      </c>
    </row>
    <row r="389" spans="2:12" x14ac:dyDescent="0.2">
      <c r="B389" s="34" t="s">
        <v>20</v>
      </c>
      <c r="C389" s="35" t="str">
        <f>IF(B389="","",VLOOKUP(B389,ORÇAMENTO!$B$7:C284,2,0))</f>
        <v>INSTALAÇÕES PREDIAIS</v>
      </c>
      <c r="D389" s="35" t="s">
        <v>128</v>
      </c>
      <c r="E389" s="35" t="e">
        <f>IF(D389="","",VLOOKUP(D389,ORÇAMENTO!$B$7:$E$73,2,0))</f>
        <v>#N/A</v>
      </c>
      <c r="F389" s="35" t="s">
        <v>29</v>
      </c>
      <c r="G389" s="60" t="s">
        <v>266</v>
      </c>
      <c r="H389" s="56">
        <v>5</v>
      </c>
      <c r="I389" s="38">
        <v>1</v>
      </c>
      <c r="J389" s="38">
        <v>1</v>
      </c>
      <c r="K389" s="39">
        <v>27.34</v>
      </c>
      <c r="L389" s="40">
        <f t="shared" si="17"/>
        <v>136.69999999999999</v>
      </c>
    </row>
    <row r="390" spans="2:12" x14ac:dyDescent="0.2">
      <c r="B390" s="34" t="s">
        <v>20</v>
      </c>
      <c r="C390" s="35" t="str">
        <f>IF(B390="","",VLOOKUP(B390,ORÇAMENTO!$B$7:C285,2,0))</f>
        <v>INSTALAÇÕES PREDIAIS</v>
      </c>
      <c r="D390" s="35" t="s">
        <v>128</v>
      </c>
      <c r="E390" s="35" t="e">
        <f>IF(D390="","",VLOOKUP(D390,ORÇAMENTO!$B$7:$E$73,2,0))</f>
        <v>#N/A</v>
      </c>
      <c r="F390" s="35" t="s">
        <v>29</v>
      </c>
      <c r="G390" s="60" t="s">
        <v>265</v>
      </c>
      <c r="H390" s="56">
        <v>5</v>
      </c>
      <c r="I390" s="38">
        <v>1</v>
      </c>
      <c r="J390" s="38">
        <v>1</v>
      </c>
      <c r="K390" s="39">
        <v>14.54</v>
      </c>
      <c r="L390" s="40">
        <f t="shared" si="17"/>
        <v>72.699999999999989</v>
      </c>
    </row>
    <row r="391" spans="2:12" x14ac:dyDescent="0.2">
      <c r="B391" s="34" t="s">
        <v>20</v>
      </c>
      <c r="C391" s="35" t="str">
        <f>IF(B391="","",VLOOKUP(B391,ORÇAMENTO!$B$7:C286,2,0))</f>
        <v>INSTALAÇÕES PREDIAIS</v>
      </c>
      <c r="D391" s="35" t="s">
        <v>128</v>
      </c>
      <c r="E391" s="35" t="e">
        <f>IF(D391="","",VLOOKUP(D391,ORÇAMENTO!$B$7:$E$73,2,0))</f>
        <v>#N/A</v>
      </c>
      <c r="F391" s="35" t="s">
        <v>29</v>
      </c>
      <c r="G391" s="60" t="s">
        <v>264</v>
      </c>
      <c r="H391" s="56">
        <v>5</v>
      </c>
      <c r="I391" s="38">
        <v>1</v>
      </c>
      <c r="J391" s="38">
        <v>1</v>
      </c>
      <c r="K391" s="39">
        <v>29.81</v>
      </c>
      <c r="L391" s="40">
        <f t="shared" si="17"/>
        <v>149.04999999999998</v>
      </c>
    </row>
    <row r="392" spans="2:12" x14ac:dyDescent="0.2">
      <c r="B392" s="34" t="s">
        <v>20</v>
      </c>
      <c r="C392" s="35" t="str">
        <f>IF(B392="","",VLOOKUP(B392,ORÇAMENTO!$B$7:C288,2,0))</f>
        <v>INSTALAÇÕES PREDIAIS</v>
      </c>
      <c r="D392" s="35" t="s">
        <v>263</v>
      </c>
      <c r="E392" s="35" t="e">
        <f>IF(D392="","",VLOOKUP(D392,ORÇAMENTO!$B$7:$E$73,2,0))</f>
        <v>#N/A</v>
      </c>
      <c r="F392" s="35" t="s">
        <v>29</v>
      </c>
      <c r="G392" s="60" t="s">
        <v>262</v>
      </c>
      <c r="H392" s="56">
        <v>5</v>
      </c>
      <c r="I392" s="38">
        <v>1</v>
      </c>
      <c r="J392" s="38">
        <v>1</v>
      </c>
      <c r="K392" s="39">
        <v>105.56</v>
      </c>
      <c r="L392" s="40">
        <f t="shared" si="17"/>
        <v>527.79999999999995</v>
      </c>
    </row>
    <row r="393" spans="2:12" x14ac:dyDescent="0.2">
      <c r="B393" s="34" t="s">
        <v>20</v>
      </c>
      <c r="C393" s="35" t="str">
        <f>IF(B393="","",VLOOKUP(B393,ORÇAMENTO!$B$7:C294,2,0))</f>
        <v>INSTALAÇÕES PREDIAIS</v>
      </c>
      <c r="D393" s="35" t="s">
        <v>128</v>
      </c>
      <c r="E393" s="35" t="e">
        <f>IF(D393="","",VLOOKUP(D393,ORÇAMENTO!$B$7:$E$73,2,0))</f>
        <v>#N/A</v>
      </c>
      <c r="F393" s="35" t="s">
        <v>34</v>
      </c>
      <c r="G393" s="60" t="s">
        <v>56</v>
      </c>
      <c r="H393" s="56">
        <v>1</v>
      </c>
      <c r="I393" s="38">
        <v>1</v>
      </c>
      <c r="J393" s="38">
        <v>1</v>
      </c>
      <c r="K393" s="39">
        <v>2.39</v>
      </c>
      <c r="L393" s="40">
        <f t="shared" si="17"/>
        <v>2.39</v>
      </c>
    </row>
    <row r="394" spans="2:12" x14ac:dyDescent="0.2">
      <c r="B394" s="34" t="s">
        <v>20</v>
      </c>
      <c r="C394" s="35" t="str">
        <f>IF(B394="","",VLOOKUP(B394,ORÇAMENTO!$B$7:C295,2,0))</f>
        <v>INSTALAÇÕES PREDIAIS</v>
      </c>
      <c r="D394" s="35" t="s">
        <v>128</v>
      </c>
      <c r="E394" s="35" t="e">
        <f>IF(D394="","",VLOOKUP(D394,ORÇAMENTO!$B$7:$E$73,2,0))</f>
        <v>#N/A</v>
      </c>
      <c r="F394" s="35" t="s">
        <v>34</v>
      </c>
      <c r="G394" s="60" t="s">
        <v>266</v>
      </c>
      <c r="H394" s="56">
        <v>1</v>
      </c>
      <c r="I394" s="38">
        <v>1</v>
      </c>
      <c r="J394" s="38">
        <v>1</v>
      </c>
      <c r="K394" s="39">
        <v>27.34</v>
      </c>
      <c r="L394" s="40">
        <f t="shared" si="17"/>
        <v>27.34</v>
      </c>
    </row>
    <row r="395" spans="2:12" x14ac:dyDescent="0.2">
      <c r="B395" s="34" t="s">
        <v>20</v>
      </c>
      <c r="C395" s="35" t="str">
        <f>IF(B395="","",VLOOKUP(B395,ORÇAMENTO!$B$7:C296,2,0))</f>
        <v>INSTALAÇÕES PREDIAIS</v>
      </c>
      <c r="D395" s="35" t="s">
        <v>128</v>
      </c>
      <c r="E395" s="35" t="e">
        <f>IF(D395="","",VLOOKUP(D395,ORÇAMENTO!$B$7:$E$73,2,0))</f>
        <v>#N/A</v>
      </c>
      <c r="F395" s="35" t="s">
        <v>34</v>
      </c>
      <c r="G395" s="60" t="s">
        <v>265</v>
      </c>
      <c r="H395" s="56">
        <v>1</v>
      </c>
      <c r="I395" s="38">
        <v>1</v>
      </c>
      <c r="J395" s="38">
        <v>1</v>
      </c>
      <c r="K395" s="39">
        <v>14.49</v>
      </c>
      <c r="L395" s="40">
        <f t="shared" si="17"/>
        <v>14.49</v>
      </c>
    </row>
    <row r="396" spans="2:12" x14ac:dyDescent="0.2">
      <c r="B396" s="34" t="s">
        <v>20</v>
      </c>
      <c r="C396" s="35" t="str">
        <f>IF(B396="","",VLOOKUP(B396,ORÇAMENTO!$B$7:C297,2,0))</f>
        <v>INSTALAÇÕES PREDIAIS</v>
      </c>
      <c r="D396" s="35" t="s">
        <v>128</v>
      </c>
      <c r="E396" s="35" t="e">
        <f>IF(D396="","",VLOOKUP(D396,ORÇAMENTO!$B$7:$E$73,2,0))</f>
        <v>#N/A</v>
      </c>
      <c r="F396" s="35" t="s">
        <v>34</v>
      </c>
      <c r="G396" s="60" t="s">
        <v>264</v>
      </c>
      <c r="H396" s="56">
        <v>1</v>
      </c>
      <c r="I396" s="38">
        <v>1</v>
      </c>
      <c r="J396" s="38">
        <v>1</v>
      </c>
      <c r="K396" s="39">
        <v>29.81</v>
      </c>
      <c r="L396" s="40">
        <f t="shared" si="17"/>
        <v>29.81</v>
      </c>
    </row>
    <row r="397" spans="2:12" x14ac:dyDescent="0.2">
      <c r="B397" s="34" t="s">
        <v>20</v>
      </c>
      <c r="C397" s="35" t="str">
        <f>IF(B397="","",VLOOKUP(B397,ORÇAMENTO!$B$7:C299,2,0))</f>
        <v>INSTALAÇÕES PREDIAIS</v>
      </c>
      <c r="D397" s="35" t="s">
        <v>263</v>
      </c>
      <c r="E397" s="35" t="e">
        <f>IF(D397="","",VLOOKUP(D397,ORÇAMENTO!$B$7:$E$73,2,0))</f>
        <v>#N/A</v>
      </c>
      <c r="F397" s="35" t="s">
        <v>34</v>
      </c>
      <c r="G397" s="60" t="s">
        <v>262</v>
      </c>
      <c r="H397" s="56">
        <v>1</v>
      </c>
      <c r="I397" s="38">
        <v>1</v>
      </c>
      <c r="J397" s="38">
        <v>1</v>
      </c>
      <c r="K397" s="39">
        <v>105.56</v>
      </c>
      <c r="L397" s="40">
        <f t="shared" si="17"/>
        <v>105.56</v>
      </c>
    </row>
    <row r="398" spans="2:12" x14ac:dyDescent="0.2">
      <c r="B398" s="34" t="s">
        <v>20</v>
      </c>
      <c r="C398" s="35" t="str">
        <f>IF(B398="","",VLOOKUP(B398,ORÇAMENTO!$B$7:C303,2,0))</f>
        <v>INSTALAÇÕES PREDIAIS</v>
      </c>
      <c r="D398" s="35" t="s">
        <v>128</v>
      </c>
      <c r="E398" s="35" t="e">
        <f>IF(D398="","",VLOOKUP(D398,ORÇAMENTO!$B$7:$E$73,2,0))</f>
        <v>#N/A</v>
      </c>
      <c r="F398" s="35" t="s">
        <v>15</v>
      </c>
      <c r="G398" s="60" t="s">
        <v>267</v>
      </c>
      <c r="H398" s="56">
        <v>1</v>
      </c>
      <c r="I398" s="38">
        <v>1</v>
      </c>
      <c r="J398" s="38">
        <v>1</v>
      </c>
      <c r="K398" s="39">
        <v>135.88999999999999</v>
      </c>
      <c r="L398" s="40">
        <f t="shared" si="17"/>
        <v>135.88999999999999</v>
      </c>
    </row>
    <row r="399" spans="2:12" x14ac:dyDescent="0.2">
      <c r="B399" s="43" t="s">
        <v>21</v>
      </c>
      <c r="C399" s="44" t="e">
        <f>IF(B399="","",VLOOKUP(B399,ORÇAMENTO!$B$7:C300,2,0))</f>
        <v>#N/A</v>
      </c>
      <c r="D399" s="44" t="s">
        <v>129</v>
      </c>
      <c r="E399" s="44" t="e">
        <f>IF(D399="","",VLOOKUP(D399,ORÇAMENTO!$B$7:$E$73,2,0))</f>
        <v>#N/A</v>
      </c>
      <c r="F399" s="44" t="s">
        <v>31</v>
      </c>
      <c r="G399" s="57"/>
      <c r="H399" s="45">
        <v>1</v>
      </c>
      <c r="I399" s="46">
        <v>1</v>
      </c>
      <c r="J399" s="46">
        <v>1</v>
      </c>
      <c r="K399" s="47">
        <v>11</v>
      </c>
      <c r="L399" s="64">
        <f t="shared" si="17"/>
        <v>11</v>
      </c>
    </row>
    <row r="400" spans="2:12" x14ac:dyDescent="0.2">
      <c r="B400" s="43" t="s">
        <v>21</v>
      </c>
      <c r="C400" s="44" t="e">
        <f>IF(B400="","",VLOOKUP(B400,ORÇAMENTO!$B$7:C304,2,0))</f>
        <v>#N/A</v>
      </c>
      <c r="D400" s="44" t="s">
        <v>129</v>
      </c>
      <c r="E400" s="44" t="e">
        <f>IF(D400="","",VLOOKUP(D400,ORÇAMENTO!$B$7:$E$73,2,0))</f>
        <v>#N/A</v>
      </c>
      <c r="F400" s="44" t="s">
        <v>28</v>
      </c>
      <c r="G400" s="44" t="s">
        <v>44</v>
      </c>
      <c r="H400" s="45">
        <v>1</v>
      </c>
      <c r="I400" s="46">
        <v>1</v>
      </c>
      <c r="J400" s="46">
        <v>1</v>
      </c>
      <c r="K400" s="47">
        <v>133.22999999999999</v>
      </c>
      <c r="L400" s="64">
        <f t="shared" si="17"/>
        <v>133.22999999999999</v>
      </c>
    </row>
    <row r="401" spans="2:12" x14ac:dyDescent="0.2">
      <c r="B401" s="43" t="s">
        <v>21</v>
      </c>
      <c r="C401" s="44" t="e">
        <f>IF(B401="","",VLOOKUP(B401,ORÇAMENTO!$B$7:C308,2,0))</f>
        <v>#N/A</v>
      </c>
      <c r="D401" s="44" t="s">
        <v>129</v>
      </c>
      <c r="E401" s="44" t="e">
        <f>IF(D401="","",VLOOKUP(D401,ORÇAMENTO!$B$7:$E$73,2,0))</f>
        <v>#N/A</v>
      </c>
      <c r="F401" s="44" t="s">
        <v>29</v>
      </c>
      <c r="G401" s="57"/>
      <c r="H401" s="45">
        <v>5</v>
      </c>
      <c r="I401" s="46">
        <v>1</v>
      </c>
      <c r="J401" s="46">
        <v>1</v>
      </c>
      <c r="K401" s="47">
        <v>20</v>
      </c>
      <c r="L401" s="64">
        <f t="shared" si="17"/>
        <v>100</v>
      </c>
    </row>
    <row r="402" spans="2:12" x14ac:dyDescent="0.2">
      <c r="B402" s="43" t="s">
        <v>21</v>
      </c>
      <c r="C402" s="44" t="e">
        <f>IF(B402="","",VLOOKUP(B402,ORÇAMENTO!$B$7:C314,2,0))</f>
        <v>#N/A</v>
      </c>
      <c r="D402" s="44" t="s">
        <v>129</v>
      </c>
      <c r="E402" s="44" t="e">
        <f>IF(D402="","",VLOOKUP(D402,ORÇAMENTO!$B$7:$E$73,2,0))</f>
        <v>#N/A</v>
      </c>
      <c r="F402" s="44" t="s">
        <v>34</v>
      </c>
      <c r="G402" s="57"/>
      <c r="H402" s="45">
        <v>1</v>
      </c>
      <c r="I402" s="46">
        <v>1</v>
      </c>
      <c r="J402" s="46">
        <v>1</v>
      </c>
      <c r="K402" s="47">
        <v>20</v>
      </c>
      <c r="L402" s="64">
        <f t="shared" si="17"/>
        <v>20</v>
      </c>
    </row>
    <row r="403" spans="2:12" x14ac:dyDescent="0.2">
      <c r="B403" s="43" t="s">
        <v>21</v>
      </c>
      <c r="C403" s="44" t="e">
        <f>IF(B403="","",VLOOKUP(B403,ORÇAMENTO!$B$7:C320,2,0))</f>
        <v>#N/A</v>
      </c>
      <c r="D403" s="44" t="s">
        <v>129</v>
      </c>
      <c r="E403" s="44" t="e">
        <f>IF(D403="","",VLOOKUP(D403,ORÇAMENTO!$B$7:$E$73,2,0))</f>
        <v>#N/A</v>
      </c>
      <c r="F403" s="44" t="s">
        <v>15</v>
      </c>
      <c r="G403" s="57"/>
      <c r="H403" s="45">
        <v>1</v>
      </c>
      <c r="I403" s="46">
        <v>1</v>
      </c>
      <c r="J403" s="46">
        <v>1</v>
      </c>
      <c r="K403" s="47">
        <v>11.47</v>
      </c>
      <c r="L403" s="64">
        <f t="shared" si="17"/>
        <v>11.47</v>
      </c>
    </row>
    <row r="404" spans="2:12" x14ac:dyDescent="0.2">
      <c r="B404" s="43" t="s">
        <v>21</v>
      </c>
      <c r="C404" s="44" t="e">
        <f>IF(B404="","",VLOOKUP(B404,ORÇAMENTO!$B$7:C324,2,0))</f>
        <v>#N/A</v>
      </c>
      <c r="D404" s="44" t="s">
        <v>129</v>
      </c>
      <c r="E404" s="44" t="e">
        <f>IF(D404="","",VLOOKUP(D404,ORÇAMENTO!$B$7:$E$73,2,0))</f>
        <v>#N/A</v>
      </c>
      <c r="F404" s="44" t="s">
        <v>30</v>
      </c>
      <c r="G404" s="57"/>
      <c r="H404" s="45">
        <v>1</v>
      </c>
      <c r="I404" s="46">
        <v>1</v>
      </c>
      <c r="J404" s="46">
        <v>1</v>
      </c>
      <c r="K404" s="47">
        <v>73.67</v>
      </c>
      <c r="L404" s="64">
        <f t="shared" si="17"/>
        <v>73.67</v>
      </c>
    </row>
    <row r="405" spans="2:12" x14ac:dyDescent="0.2">
      <c r="B405" s="43" t="s">
        <v>21</v>
      </c>
      <c r="C405" s="44" t="e">
        <f>IF(B405="","",VLOOKUP(B405,ORÇAMENTO!$B$7:C301,2,0))</f>
        <v>#N/A</v>
      </c>
      <c r="D405" s="44" t="s">
        <v>130</v>
      </c>
      <c r="E405" s="44" t="e">
        <f>IF(D405="","",VLOOKUP(D405,ORÇAMENTO!$B$7:$E$73,2,0))</f>
        <v>#N/A</v>
      </c>
      <c r="F405" s="44" t="s">
        <v>31</v>
      </c>
      <c r="G405" s="44" t="s">
        <v>55</v>
      </c>
      <c r="H405" s="45">
        <v>1</v>
      </c>
      <c r="I405" s="46">
        <v>1</v>
      </c>
      <c r="J405" s="46">
        <v>1</v>
      </c>
      <c r="K405" s="47">
        <v>15.2</v>
      </c>
      <c r="L405" s="64">
        <f t="shared" si="17"/>
        <v>15.2</v>
      </c>
    </row>
    <row r="406" spans="2:12" x14ac:dyDescent="0.2">
      <c r="B406" s="43" t="s">
        <v>21</v>
      </c>
      <c r="C406" s="44" t="e">
        <f>IF(B406="","",VLOOKUP(B406,ORÇAMENTO!$B$7:C310,2,0))</f>
        <v>#N/A</v>
      </c>
      <c r="D406" s="44" t="s">
        <v>130</v>
      </c>
      <c r="E406" s="44" t="e">
        <f>IF(D406="","",VLOOKUP(D406,ORÇAMENTO!$B$7:$E$73,2,0))</f>
        <v>#N/A</v>
      </c>
      <c r="F406" s="44" t="s">
        <v>29</v>
      </c>
      <c r="G406" s="44" t="s">
        <v>55</v>
      </c>
      <c r="H406" s="45">
        <v>5</v>
      </c>
      <c r="I406" s="46">
        <v>1</v>
      </c>
      <c r="J406" s="46">
        <v>1</v>
      </c>
      <c r="K406" s="47">
        <v>9.7899999999999991</v>
      </c>
      <c r="L406" s="64">
        <f t="shared" si="17"/>
        <v>48.949999999999996</v>
      </c>
    </row>
    <row r="407" spans="2:12" x14ac:dyDescent="0.2">
      <c r="B407" s="43" t="s">
        <v>21</v>
      </c>
      <c r="C407" s="44" t="e">
        <f>IF(B407="","",VLOOKUP(B407,ORÇAMENTO!$B$7:C316,2,0))</f>
        <v>#N/A</v>
      </c>
      <c r="D407" s="44" t="s">
        <v>130</v>
      </c>
      <c r="E407" s="44" t="e">
        <f>IF(D407="","",VLOOKUP(D407,ORÇAMENTO!$B$7:$E$73,2,0))</f>
        <v>#N/A</v>
      </c>
      <c r="F407" s="44" t="s">
        <v>34</v>
      </c>
      <c r="G407" s="44" t="s">
        <v>55</v>
      </c>
      <c r="H407" s="45">
        <v>1</v>
      </c>
      <c r="I407" s="46">
        <v>1</v>
      </c>
      <c r="J407" s="46">
        <v>1</v>
      </c>
      <c r="K407" s="47">
        <v>9.7899999999999991</v>
      </c>
      <c r="L407" s="64">
        <f t="shared" si="17"/>
        <v>9.7899999999999991</v>
      </c>
    </row>
    <row r="408" spans="2:12" x14ac:dyDescent="0.2">
      <c r="B408" s="43" t="s">
        <v>21</v>
      </c>
      <c r="C408" s="44" t="e">
        <f>IF(B408="","",VLOOKUP(B408,ORÇAMENTO!$B$7:C297,2,0))</f>
        <v>#N/A</v>
      </c>
      <c r="D408" s="44" t="s">
        <v>131</v>
      </c>
      <c r="E408" s="44" t="e">
        <f>IF(D408="","",VLOOKUP(D408,ORÇAMENTO!$B$7:$E$73,2,0))</f>
        <v>#N/A</v>
      </c>
      <c r="F408" s="44" t="s">
        <v>232</v>
      </c>
      <c r="G408" s="44"/>
      <c r="H408" s="45">
        <v>1</v>
      </c>
      <c r="I408" s="46">
        <v>1</v>
      </c>
      <c r="J408" s="46">
        <v>0.1</v>
      </c>
      <c r="K408" s="47">
        <v>0.85</v>
      </c>
      <c r="L408" s="51">
        <f t="shared" si="17"/>
        <v>8.5000000000000006E-2</v>
      </c>
    </row>
    <row r="409" spans="2:12" x14ac:dyDescent="0.2">
      <c r="B409" s="43" t="s">
        <v>21</v>
      </c>
      <c r="C409" s="44" t="e">
        <f>IF(B409="","",VLOOKUP(B409,ORÇAMENTO!$B$7:C302,2,0))</f>
        <v>#N/A</v>
      </c>
      <c r="D409" s="44" t="s">
        <v>131</v>
      </c>
      <c r="E409" s="44" t="e">
        <f>IF(D409="","",VLOOKUP(D409,ORÇAMENTO!$B$7:$E$73,2,0))</f>
        <v>#N/A</v>
      </c>
      <c r="F409" s="44" t="s">
        <v>31</v>
      </c>
      <c r="G409" s="44" t="s">
        <v>56</v>
      </c>
      <c r="H409" s="45">
        <v>1</v>
      </c>
      <c r="I409" s="46">
        <v>1</v>
      </c>
      <c r="J409" s="46">
        <v>1</v>
      </c>
      <c r="K409" s="47">
        <v>26</v>
      </c>
      <c r="L409" s="64">
        <f t="shared" si="17"/>
        <v>26</v>
      </c>
    </row>
    <row r="410" spans="2:12" x14ac:dyDescent="0.2">
      <c r="B410" s="43" t="s">
        <v>21</v>
      </c>
      <c r="C410" s="44" t="e">
        <f>IF(B410="","",VLOOKUP(B410,ORÇAMENTO!$B$7:C305,2,0))</f>
        <v>#N/A</v>
      </c>
      <c r="D410" s="44" t="s">
        <v>131</v>
      </c>
      <c r="E410" s="44" t="e">
        <f>IF(D410="","",VLOOKUP(D410,ORÇAMENTO!$B$7:$E$73,2,0))</f>
        <v>#N/A</v>
      </c>
      <c r="F410" s="44" t="s">
        <v>28</v>
      </c>
      <c r="G410" s="44" t="s">
        <v>66</v>
      </c>
      <c r="H410" s="45">
        <v>1</v>
      </c>
      <c r="I410" s="46">
        <v>1</v>
      </c>
      <c r="J410" s="46">
        <v>1</v>
      </c>
      <c r="K410" s="47">
        <v>72.8</v>
      </c>
      <c r="L410" s="64">
        <f t="shared" ref="L410:L428" si="18">H410*I410*J410*K410</f>
        <v>72.8</v>
      </c>
    </row>
    <row r="411" spans="2:12" x14ac:dyDescent="0.2">
      <c r="B411" s="43" t="s">
        <v>21</v>
      </c>
      <c r="C411" s="44" t="e">
        <f>IF(B411="","",VLOOKUP(B411,ORÇAMENTO!$B$7:C310,2,0))</f>
        <v>#N/A</v>
      </c>
      <c r="D411" s="44" t="s">
        <v>268</v>
      </c>
      <c r="E411" s="44" t="s">
        <v>269</v>
      </c>
      <c r="F411" s="44" t="s">
        <v>29</v>
      </c>
      <c r="G411" s="44"/>
      <c r="H411" s="45">
        <v>5</v>
      </c>
      <c r="I411" s="46">
        <v>1</v>
      </c>
      <c r="J411" s="46">
        <v>1</v>
      </c>
      <c r="K411" s="47">
        <v>152.5</v>
      </c>
      <c r="L411" s="64">
        <f t="shared" si="18"/>
        <v>762.5</v>
      </c>
    </row>
    <row r="412" spans="2:12" x14ac:dyDescent="0.2">
      <c r="B412" s="43" t="s">
        <v>21</v>
      </c>
      <c r="C412" s="44" t="e">
        <f>IF(B412="","",VLOOKUP(B412,ORÇAMENTO!$B$7:C311,2,0))</f>
        <v>#N/A</v>
      </c>
      <c r="D412" s="44" t="s">
        <v>131</v>
      </c>
      <c r="E412" s="44" t="e">
        <f>IF(D412="","",VLOOKUP(D412,ORÇAMENTO!$B$7:$E$73,2,0))</f>
        <v>#N/A</v>
      </c>
      <c r="F412" s="44" t="s">
        <v>29</v>
      </c>
      <c r="G412" s="44"/>
      <c r="H412" s="45">
        <v>5</v>
      </c>
      <c r="I412" s="46">
        <v>1</v>
      </c>
      <c r="J412" s="46">
        <v>1</v>
      </c>
      <c r="K412" s="47">
        <v>65.7</v>
      </c>
      <c r="L412" s="64">
        <f t="shared" si="18"/>
        <v>328.5</v>
      </c>
    </row>
    <row r="413" spans="2:12" x14ac:dyDescent="0.2">
      <c r="B413" s="43" t="s">
        <v>21</v>
      </c>
      <c r="C413" s="44" t="e">
        <f>IF(B413="","",VLOOKUP(B413,ORÇAMENTO!$B$7:C315,2,0))</f>
        <v>#N/A</v>
      </c>
      <c r="D413" s="44" t="s">
        <v>268</v>
      </c>
      <c r="E413" s="44" t="e">
        <f>IF(D413="","",VLOOKUP(D413,ORÇAMENTO!$B$7:$E$73,2,0))</f>
        <v>#N/A</v>
      </c>
      <c r="F413" s="44" t="s">
        <v>34</v>
      </c>
      <c r="G413" s="44"/>
      <c r="H413" s="45">
        <v>1</v>
      </c>
      <c r="I413" s="46">
        <v>1</v>
      </c>
      <c r="J413" s="46">
        <v>1</v>
      </c>
      <c r="K413" s="47">
        <v>152.5</v>
      </c>
      <c r="L413" s="64">
        <f t="shared" si="18"/>
        <v>152.5</v>
      </c>
    </row>
    <row r="414" spans="2:12" x14ac:dyDescent="0.2">
      <c r="B414" s="43" t="s">
        <v>21</v>
      </c>
      <c r="C414" s="44" t="e">
        <f>IF(B414="","",VLOOKUP(B414,ORÇAMENTO!$B$7:C317,2,0))</f>
        <v>#N/A</v>
      </c>
      <c r="D414" s="44" t="s">
        <v>131</v>
      </c>
      <c r="E414" s="44" t="e">
        <f>IF(D414="","",VLOOKUP(D414,ORÇAMENTO!$B$7:$E$73,2,0))</f>
        <v>#N/A</v>
      </c>
      <c r="F414" s="44" t="s">
        <v>34</v>
      </c>
      <c r="G414" s="44"/>
      <c r="H414" s="45">
        <v>1</v>
      </c>
      <c r="I414" s="46">
        <v>1</v>
      </c>
      <c r="J414" s="46">
        <v>1</v>
      </c>
      <c r="K414" s="47">
        <v>65.7</v>
      </c>
      <c r="L414" s="64">
        <f t="shared" si="18"/>
        <v>65.7</v>
      </c>
    </row>
    <row r="415" spans="2:12" x14ac:dyDescent="0.2">
      <c r="B415" s="43" t="s">
        <v>21</v>
      </c>
      <c r="C415" s="44" t="e">
        <f>IF(B415="","",VLOOKUP(B415,ORÇAMENTO!$B$7:C321,2,0))</f>
        <v>#N/A</v>
      </c>
      <c r="D415" s="44" t="s">
        <v>131</v>
      </c>
      <c r="E415" s="44" t="e">
        <f>IF(D415="","",VLOOKUP(D415,ORÇAMENTO!$B$7:$E$73,2,0))</f>
        <v>#N/A</v>
      </c>
      <c r="F415" s="44" t="s">
        <v>15</v>
      </c>
      <c r="G415" s="44"/>
      <c r="H415" s="45">
        <v>1</v>
      </c>
      <c r="I415" s="46">
        <v>1</v>
      </c>
      <c r="J415" s="46">
        <v>1</v>
      </c>
      <c r="K415" s="47">
        <v>90.68</v>
      </c>
      <c r="L415" s="64">
        <f t="shared" si="18"/>
        <v>90.68</v>
      </c>
    </row>
    <row r="416" spans="2:12" x14ac:dyDescent="0.2">
      <c r="B416" s="43" t="s">
        <v>21</v>
      </c>
      <c r="C416" s="44" t="e">
        <f>IF(B416="","",VLOOKUP(B416,ORÇAMENTO!$B$7:C299,2,0))</f>
        <v>#N/A</v>
      </c>
      <c r="D416" s="44" t="s">
        <v>132</v>
      </c>
      <c r="E416" s="44" t="e">
        <f>IF(D416="","",VLOOKUP(D416,ORÇAMENTO!$B$7:$E$73,2,0))</f>
        <v>#N/A</v>
      </c>
      <c r="F416" s="44" t="s">
        <v>232</v>
      </c>
      <c r="G416" s="44"/>
      <c r="H416" s="45">
        <v>1</v>
      </c>
      <c r="I416" s="46">
        <v>1</v>
      </c>
      <c r="J416" s="46">
        <v>1</v>
      </c>
      <c r="K416" s="47">
        <v>1.95</v>
      </c>
      <c r="L416" s="64">
        <f t="shared" si="18"/>
        <v>1.95</v>
      </c>
    </row>
    <row r="417" spans="2:12" x14ac:dyDescent="0.2">
      <c r="B417" s="43" t="s">
        <v>21</v>
      </c>
      <c r="C417" s="44" t="e">
        <f>IF(B417="","",VLOOKUP(B417,ORÇAMENTO!$B$7:C303,2,0))</f>
        <v>#N/A</v>
      </c>
      <c r="D417" s="44" t="s">
        <v>132</v>
      </c>
      <c r="E417" s="44" t="e">
        <f>IF(D417="","",VLOOKUP(D417,ORÇAMENTO!$B$7:$E$73,2,0))</f>
        <v>#N/A</v>
      </c>
      <c r="F417" s="44" t="s">
        <v>31</v>
      </c>
      <c r="G417" s="44"/>
      <c r="H417" s="45">
        <v>1</v>
      </c>
      <c r="I417" s="46">
        <v>1</v>
      </c>
      <c r="J417" s="46">
        <v>1</v>
      </c>
      <c r="K417" s="47">
        <v>19.75</v>
      </c>
      <c r="L417" s="64">
        <f t="shared" si="18"/>
        <v>19.75</v>
      </c>
    </row>
    <row r="418" spans="2:12" x14ac:dyDescent="0.2">
      <c r="B418" s="43" t="s">
        <v>21</v>
      </c>
      <c r="C418" s="44" t="e">
        <f>IF(B418="","",VLOOKUP(B418,ORÇAMENTO!$B$7:C306,2,0))</f>
        <v>#N/A</v>
      </c>
      <c r="D418" s="44" t="s">
        <v>132</v>
      </c>
      <c r="E418" s="44" t="e">
        <f>IF(D418="","",VLOOKUP(D418,ORÇAMENTO!$B$7:$E$73,2,0))</f>
        <v>#N/A</v>
      </c>
      <c r="F418" s="44" t="s">
        <v>28</v>
      </c>
      <c r="G418" s="44"/>
      <c r="H418" s="45">
        <v>1</v>
      </c>
      <c r="I418" s="46">
        <v>1</v>
      </c>
      <c r="J418" s="46">
        <v>1</v>
      </c>
      <c r="K418" s="47">
        <v>6.25</v>
      </c>
      <c r="L418" s="64">
        <f t="shared" si="18"/>
        <v>6.25</v>
      </c>
    </row>
    <row r="419" spans="2:12" x14ac:dyDescent="0.2">
      <c r="B419" s="43" t="s">
        <v>21</v>
      </c>
      <c r="C419" s="44" t="e">
        <f>IF(B419="","",VLOOKUP(B419,ORÇAMENTO!$B$7:C312,2,0))</f>
        <v>#N/A</v>
      </c>
      <c r="D419" s="44" t="s">
        <v>132</v>
      </c>
      <c r="E419" s="44" t="e">
        <f>IF(D419="","",VLOOKUP(D419,ORÇAMENTO!$B$7:$E$73,2,0))</f>
        <v>#N/A</v>
      </c>
      <c r="F419" s="44" t="s">
        <v>29</v>
      </c>
      <c r="G419" s="44"/>
      <c r="H419" s="45">
        <v>5</v>
      </c>
      <c r="I419" s="46">
        <v>1</v>
      </c>
      <c r="J419" s="46">
        <v>1</v>
      </c>
      <c r="K419" s="47">
        <v>21.15</v>
      </c>
      <c r="L419" s="64">
        <f t="shared" si="18"/>
        <v>105.75</v>
      </c>
    </row>
    <row r="420" spans="2:12" x14ac:dyDescent="0.2">
      <c r="B420" s="43" t="s">
        <v>21</v>
      </c>
      <c r="C420" s="44" t="e">
        <f>IF(B420="","",VLOOKUP(B420,ORÇAMENTO!$B$7:C318,2,0))</f>
        <v>#N/A</v>
      </c>
      <c r="D420" s="44" t="s">
        <v>132</v>
      </c>
      <c r="E420" s="44" t="e">
        <f>IF(D420="","",VLOOKUP(D420,ORÇAMENTO!$B$7:$E$73,2,0))</f>
        <v>#N/A</v>
      </c>
      <c r="F420" s="44" t="s">
        <v>34</v>
      </c>
      <c r="G420" s="44"/>
      <c r="H420" s="45">
        <v>1</v>
      </c>
      <c r="I420" s="46">
        <v>1</v>
      </c>
      <c r="J420" s="46">
        <v>1</v>
      </c>
      <c r="K420" s="47">
        <v>21.15</v>
      </c>
      <c r="L420" s="64">
        <f t="shared" si="18"/>
        <v>21.15</v>
      </c>
    </row>
    <row r="421" spans="2:12" x14ac:dyDescent="0.2">
      <c r="B421" s="43" t="s">
        <v>21</v>
      </c>
      <c r="C421" s="44" t="e">
        <f>IF(B421="","",VLOOKUP(B421,ORÇAMENTO!$B$7:C322,2,0))</f>
        <v>#N/A</v>
      </c>
      <c r="D421" s="44" t="s">
        <v>132</v>
      </c>
      <c r="E421" s="44" t="e">
        <f>IF(D421="","",VLOOKUP(D421,ORÇAMENTO!$B$7:$E$73,2,0))</f>
        <v>#N/A</v>
      </c>
      <c r="F421" s="44" t="s">
        <v>15</v>
      </c>
      <c r="G421" s="44"/>
      <c r="H421" s="45">
        <v>1</v>
      </c>
      <c r="I421" s="46">
        <v>1</v>
      </c>
      <c r="J421" s="46">
        <v>1</v>
      </c>
      <c r="K421" s="47">
        <v>7</v>
      </c>
      <c r="L421" s="64">
        <f t="shared" si="18"/>
        <v>7</v>
      </c>
    </row>
    <row r="422" spans="2:12" x14ac:dyDescent="0.2">
      <c r="B422" s="43" t="s">
        <v>21</v>
      </c>
      <c r="C422" s="44" t="e">
        <f>IF(B422="","",VLOOKUP(B422,ORÇAMENTO!$B$7:C325,2,0))</f>
        <v>#N/A</v>
      </c>
      <c r="D422" s="44" t="s">
        <v>132</v>
      </c>
      <c r="E422" s="44" t="e">
        <f>IF(D422="","",VLOOKUP(D422,ORÇAMENTO!$B$7:$E$73,2,0))</f>
        <v>#N/A</v>
      </c>
      <c r="F422" s="44" t="s">
        <v>30</v>
      </c>
      <c r="G422" s="44"/>
      <c r="H422" s="45">
        <v>1</v>
      </c>
      <c r="I422" s="46">
        <v>1</v>
      </c>
      <c r="J422" s="46">
        <v>1</v>
      </c>
      <c r="K422" s="47">
        <v>3.05</v>
      </c>
      <c r="L422" s="64">
        <f t="shared" si="18"/>
        <v>3.05</v>
      </c>
    </row>
    <row r="423" spans="2:12" x14ac:dyDescent="0.2">
      <c r="B423" s="43" t="s">
        <v>21</v>
      </c>
      <c r="C423" s="44" t="e">
        <f>IF(B423="","",VLOOKUP(B423,ORÇAMENTO!$B$7:C307,2,0))</f>
        <v>#N/A</v>
      </c>
      <c r="D423" s="44" t="s">
        <v>133</v>
      </c>
      <c r="E423" s="44" t="e">
        <f>IF(D423="","",VLOOKUP(D423,ORÇAMENTO!$B$7:$E$73,2,0))</f>
        <v>#N/A</v>
      </c>
      <c r="F423" s="44" t="s">
        <v>28</v>
      </c>
      <c r="G423" s="44"/>
      <c r="H423" s="45">
        <v>1</v>
      </c>
      <c r="I423" s="46">
        <v>1</v>
      </c>
      <c r="J423" s="46">
        <v>1</v>
      </c>
      <c r="K423" s="47">
        <v>10</v>
      </c>
      <c r="L423" s="64">
        <f t="shared" si="18"/>
        <v>10</v>
      </c>
    </row>
    <row r="424" spans="2:12" x14ac:dyDescent="0.2">
      <c r="B424" s="43" t="s">
        <v>21</v>
      </c>
      <c r="C424" s="44" t="e">
        <f>IF(B424="","",VLOOKUP(B424,ORÇAMENTO!$B$7:C313,2,0))</f>
        <v>#N/A</v>
      </c>
      <c r="D424" s="44" t="s">
        <v>133</v>
      </c>
      <c r="E424" s="44" t="e">
        <f>IF(D424="","",VLOOKUP(D424,ORÇAMENTO!$B$7:$E$73,2,0))</f>
        <v>#N/A</v>
      </c>
      <c r="F424" s="44" t="s">
        <v>29</v>
      </c>
      <c r="G424" s="44"/>
      <c r="H424" s="45">
        <v>5</v>
      </c>
      <c r="I424" s="46">
        <v>1</v>
      </c>
      <c r="J424" s="46">
        <v>1</v>
      </c>
      <c r="K424" s="47">
        <v>15.75</v>
      </c>
      <c r="L424" s="64">
        <f t="shared" si="18"/>
        <v>78.75</v>
      </c>
    </row>
    <row r="425" spans="2:12" x14ac:dyDescent="0.2">
      <c r="B425" s="65" t="s">
        <v>21</v>
      </c>
      <c r="C425" s="66" t="e">
        <f>IF(B425="","",VLOOKUP(B425,ORÇAMENTO!$B$7:C319,2,0))</f>
        <v>#N/A</v>
      </c>
      <c r="D425" s="66" t="s">
        <v>133</v>
      </c>
      <c r="E425" s="66" t="e">
        <f>IF(D425="","",VLOOKUP(D425,ORÇAMENTO!$B$7:$E$73,2,0))</f>
        <v>#N/A</v>
      </c>
      <c r="F425" s="66" t="s">
        <v>34</v>
      </c>
      <c r="G425" s="66"/>
      <c r="H425" s="67">
        <v>1</v>
      </c>
      <c r="I425" s="68">
        <v>1</v>
      </c>
      <c r="J425" s="68">
        <v>1</v>
      </c>
      <c r="K425" s="69">
        <v>15.75</v>
      </c>
      <c r="L425" s="70">
        <f t="shared" si="18"/>
        <v>15.75</v>
      </c>
    </row>
    <row r="426" spans="2:12" x14ac:dyDescent="0.2">
      <c r="B426" s="43" t="s">
        <v>21</v>
      </c>
      <c r="C426" s="44" t="e">
        <f>IF(B426="","",VLOOKUP(B426,ORÇAMENTO!$B$7:C323,2,0))</f>
        <v>#N/A</v>
      </c>
      <c r="D426" s="44" t="s">
        <v>133</v>
      </c>
      <c r="E426" s="44" t="e">
        <f>IF(D426="","",VLOOKUP(D426,ORÇAMENTO!$B$7:$E$73,2,0))</f>
        <v>#N/A</v>
      </c>
      <c r="F426" s="44" t="s">
        <v>15</v>
      </c>
      <c r="G426" s="44"/>
      <c r="H426" s="45">
        <v>1</v>
      </c>
      <c r="I426" s="46">
        <v>1</v>
      </c>
      <c r="J426" s="46">
        <v>1</v>
      </c>
      <c r="K426" s="47">
        <v>1.65</v>
      </c>
      <c r="L426" s="64">
        <f t="shared" si="18"/>
        <v>1.65</v>
      </c>
    </row>
    <row r="427" spans="2:12" x14ac:dyDescent="0.2">
      <c r="B427" s="43" t="s">
        <v>21</v>
      </c>
      <c r="C427" s="44" t="e">
        <f>IF(B427="","",VLOOKUP(B427,ORÇAMENTO!$B$7:C326,2,0))</f>
        <v>#N/A</v>
      </c>
      <c r="D427" s="44" t="s">
        <v>133</v>
      </c>
      <c r="E427" s="44" t="e">
        <f>IF(D427="","",VLOOKUP(D427,ORÇAMENTO!$B$7:$E$73,2,0))</f>
        <v>#N/A</v>
      </c>
      <c r="F427" s="44" t="s">
        <v>30</v>
      </c>
      <c r="G427" s="44"/>
      <c r="H427" s="45">
        <v>1</v>
      </c>
      <c r="I427" s="46">
        <v>1</v>
      </c>
      <c r="J427" s="46">
        <v>1</v>
      </c>
      <c r="K427" s="47">
        <v>3.85</v>
      </c>
      <c r="L427" s="64">
        <f t="shared" si="18"/>
        <v>3.85</v>
      </c>
    </row>
    <row r="428" spans="2:12" x14ac:dyDescent="0.2">
      <c r="B428" s="34" t="s">
        <v>23</v>
      </c>
      <c r="C428" s="35" t="e">
        <f>IF(B428="","",VLOOKUP(B428,ORÇAMENTO!$B$7:C400,2,0))</f>
        <v>#N/A</v>
      </c>
      <c r="D428" s="35" t="s">
        <v>140</v>
      </c>
      <c r="E428" s="35" t="e">
        <f>IF(D428="","",VLOOKUP(D428,ORÇAMENTO!$B$7:$E$73,2,0))</f>
        <v>#N/A</v>
      </c>
      <c r="F428" s="60"/>
      <c r="G428" s="60"/>
      <c r="H428" s="56">
        <v>2</v>
      </c>
      <c r="I428" s="38">
        <v>1</v>
      </c>
      <c r="J428" s="38">
        <v>1</v>
      </c>
      <c r="K428" s="39">
        <v>1</v>
      </c>
      <c r="L428" s="62">
        <f t="shared" si="18"/>
        <v>2</v>
      </c>
    </row>
  </sheetData>
  <mergeCells count="2">
    <mergeCell ref="B1:L2"/>
    <mergeCell ref="B3:L4"/>
  </mergeCells>
  <phoneticPr fontId="4" type="noConversion"/>
  <printOptions horizontalCentered="1" verticalCentered="1"/>
  <pageMargins left="0.19685039370078741" right="0.19685039370078741" top="0.78740157480314965" bottom="0.78740157480314965" header="0.51181102362204722" footer="0.51181102362204722"/>
  <pageSetup scale="49" fitToHeight="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132"/>
  <sheetViews>
    <sheetView workbookViewId="0">
      <pane xSplit="2" ySplit="10" topLeftCell="C62" activePane="bottomRight" state="frozen"/>
      <selection pane="topRight" activeCell="C1" sqref="C1"/>
      <selection pane="bottomLeft" activeCell="A11" sqref="A11"/>
      <selection pane="bottomRight" activeCell="C17" sqref="C17"/>
    </sheetView>
  </sheetViews>
  <sheetFormatPr defaultRowHeight="12.75" x14ac:dyDescent="0.2"/>
  <cols>
    <col min="2" max="3" width="5" customWidth="1"/>
    <col min="4" max="4" width="8.5703125" bestFit="1" customWidth="1"/>
    <col min="5" max="5" width="43.28515625" bestFit="1" customWidth="1"/>
    <col min="6" max="6" width="11.5703125" bestFit="1" customWidth="1"/>
    <col min="9" max="9" width="11.42578125" bestFit="1" customWidth="1"/>
    <col min="10" max="10" width="11.42578125" customWidth="1"/>
    <col min="14" max="14" width="11.42578125" bestFit="1" customWidth="1"/>
  </cols>
  <sheetData>
    <row r="1" spans="2:15" x14ac:dyDescent="0.2">
      <c r="C1" s="702" t="s">
        <v>559</v>
      </c>
      <c r="D1" s="703"/>
      <c r="E1" s="703"/>
      <c r="F1" s="703"/>
      <c r="G1" s="703"/>
      <c r="H1" s="703"/>
      <c r="I1" s="703"/>
      <c r="J1" s="703"/>
      <c r="K1" s="703"/>
      <c r="L1" s="703"/>
      <c r="M1" s="703"/>
      <c r="N1" s="703"/>
      <c r="O1" s="703"/>
    </row>
    <row r="3" spans="2:15" ht="13.5" thickBot="1" x14ac:dyDescent="0.25"/>
    <row r="4" spans="2:15" x14ac:dyDescent="0.2">
      <c r="B4" s="715" t="s">
        <v>325</v>
      </c>
      <c r="C4" s="716"/>
      <c r="D4" s="717"/>
      <c r="E4" s="717"/>
      <c r="F4" s="717"/>
      <c r="G4" s="717"/>
      <c r="H4" s="717"/>
      <c r="I4" s="717"/>
      <c r="J4" s="717"/>
      <c r="K4" s="717"/>
      <c r="L4" s="717"/>
      <c r="M4" s="717"/>
      <c r="N4" s="718"/>
    </row>
    <row r="5" spans="2:15" x14ac:dyDescent="0.2">
      <c r="B5" s="719" t="s">
        <v>335</v>
      </c>
      <c r="C5" s="720"/>
      <c r="D5" s="720"/>
      <c r="E5" s="720"/>
      <c r="F5" s="720"/>
      <c r="G5" s="720"/>
      <c r="H5" s="720"/>
      <c r="I5" s="720"/>
      <c r="J5" s="720"/>
      <c r="K5" s="720"/>
      <c r="L5" s="720"/>
      <c r="M5" s="720"/>
      <c r="N5" s="721"/>
    </row>
    <row r="6" spans="2:15" x14ac:dyDescent="0.2">
      <c r="B6" s="722"/>
      <c r="C6" s="680"/>
      <c r="D6" s="680"/>
      <c r="E6" s="680"/>
      <c r="F6" s="680"/>
      <c r="G6" s="680"/>
      <c r="H6" s="680"/>
      <c r="I6" s="680"/>
      <c r="J6" s="680"/>
      <c r="K6" s="680"/>
      <c r="L6" s="680"/>
      <c r="M6" s="680"/>
      <c r="N6" s="723"/>
    </row>
    <row r="7" spans="2:15" x14ac:dyDescent="0.2">
      <c r="B7" s="712"/>
      <c r="C7" s="474" t="s">
        <v>320</v>
      </c>
      <c r="D7" s="475"/>
      <c r="E7" s="724" t="str">
        <f>CUST_Geral_M_OBRA!D6</f>
        <v>Reforma de imóvel em Jacarepaguá</v>
      </c>
      <c r="F7" s="724"/>
      <c r="G7" s="673"/>
      <c r="H7" s="673"/>
      <c r="I7" s="673"/>
      <c r="J7" s="673"/>
      <c r="K7" s="673"/>
      <c r="L7" s="673"/>
      <c r="M7" s="673"/>
      <c r="N7" s="725"/>
    </row>
    <row r="8" spans="2:15" x14ac:dyDescent="0.2">
      <c r="B8" s="713"/>
      <c r="C8" s="706" t="s">
        <v>321</v>
      </c>
      <c r="D8" s="707"/>
      <c r="E8" s="724" t="str">
        <f>CUST_Geral_M_OBRA!D7</f>
        <v>Rua Cassiopeia, n° 86, Taquara - RJ</v>
      </c>
      <c r="F8" s="724"/>
      <c r="G8" s="673"/>
      <c r="H8" s="673"/>
      <c r="I8" s="673"/>
      <c r="J8" s="673"/>
      <c r="K8" s="673"/>
      <c r="L8" s="673"/>
      <c r="M8" s="673"/>
      <c r="N8" s="725"/>
    </row>
    <row r="9" spans="2:15" x14ac:dyDescent="0.2">
      <c r="B9" s="713"/>
      <c r="C9" s="706" t="s">
        <v>546</v>
      </c>
      <c r="D9" s="707"/>
      <c r="E9" s="473">
        <v>44670</v>
      </c>
      <c r="F9" s="473"/>
      <c r="G9" s="464"/>
      <c r="H9" s="464"/>
      <c r="I9" s="464"/>
      <c r="J9" s="473"/>
      <c r="K9" s="466"/>
      <c r="L9" s="466"/>
      <c r="M9" s="466" t="s">
        <v>326</v>
      </c>
      <c r="N9" s="483"/>
    </row>
    <row r="10" spans="2:15" x14ac:dyDescent="0.2">
      <c r="B10" s="714"/>
      <c r="C10" s="476" t="s">
        <v>316</v>
      </c>
      <c r="D10" s="477" t="s">
        <v>549</v>
      </c>
      <c r="E10" s="464" t="s">
        <v>1</v>
      </c>
      <c r="F10" s="465" t="s">
        <v>515</v>
      </c>
      <c r="G10" s="464" t="s">
        <v>270</v>
      </c>
      <c r="H10" s="464" t="s">
        <v>317</v>
      </c>
      <c r="I10" s="207" t="s">
        <v>27</v>
      </c>
      <c r="J10" s="465" t="s">
        <v>578</v>
      </c>
      <c r="K10" s="465" t="s">
        <v>513</v>
      </c>
      <c r="L10" s="465" t="s">
        <v>514</v>
      </c>
      <c r="M10" s="466" t="s">
        <v>270</v>
      </c>
      <c r="N10" s="484" t="s">
        <v>318</v>
      </c>
    </row>
    <row r="11" spans="2:15" x14ac:dyDescent="0.2">
      <c r="B11" s="709" t="s">
        <v>532</v>
      </c>
      <c r="C11" s="463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65" t="s">
        <v>533</v>
      </c>
      <c r="F11" s="465"/>
      <c r="G11" s="464">
        <v>1</v>
      </c>
      <c r="H11" s="468"/>
      <c r="I11" s="482" t="str">
        <f t="shared" ref="I11:I23" si="0">IF(H11="","",G11*H11)</f>
        <v/>
      </c>
      <c r="J11" s="465"/>
      <c r="K11" s="464"/>
      <c r="L11" s="464"/>
      <c r="M11" s="464"/>
      <c r="N11" s="469"/>
    </row>
    <row r="12" spans="2:15" x14ac:dyDescent="0.2">
      <c r="B12" s="710"/>
      <c r="C12" s="463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534</v>
      </c>
      <c r="F12" s="465"/>
      <c r="G12" s="464">
        <v>1</v>
      </c>
      <c r="H12" s="468"/>
      <c r="I12" s="482" t="str">
        <f t="shared" si="0"/>
        <v/>
      </c>
      <c r="J12" s="465"/>
      <c r="K12" s="464"/>
      <c r="L12" s="464"/>
      <c r="M12" s="464"/>
      <c r="N12" s="469"/>
    </row>
    <row r="13" spans="2:15" x14ac:dyDescent="0.2">
      <c r="B13" s="710"/>
      <c r="C13" s="463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4" t="s">
        <v>535</v>
      </c>
      <c r="F13" s="464"/>
      <c r="G13" s="464">
        <v>1</v>
      </c>
      <c r="H13" s="468"/>
      <c r="I13" s="482" t="str">
        <f t="shared" si="0"/>
        <v/>
      </c>
      <c r="J13" s="464"/>
      <c r="K13" s="464"/>
      <c r="L13" s="464"/>
      <c r="M13" s="464"/>
      <c r="N13" s="469"/>
    </row>
    <row r="14" spans="2:15" ht="13.5" thickBot="1" x14ac:dyDescent="0.25">
      <c r="B14" s="711"/>
      <c r="C14" s="463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277" t="s">
        <v>536</v>
      </c>
      <c r="F14" s="277"/>
      <c r="G14" s="277">
        <v>1</v>
      </c>
      <c r="H14" s="478"/>
      <c r="I14" s="279" t="str">
        <f t="shared" si="0"/>
        <v/>
      </c>
      <c r="J14" s="277"/>
      <c r="K14" s="277"/>
      <c r="L14" s="277"/>
      <c r="M14" s="277"/>
      <c r="N14" s="485"/>
    </row>
    <row r="15" spans="2:15" x14ac:dyDescent="0.2">
      <c r="B15" s="704" t="s">
        <v>548</v>
      </c>
      <c r="C15" s="463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79" t="s">
        <v>538</v>
      </c>
      <c r="F15" s="479"/>
      <c r="G15" s="479">
        <v>1</v>
      </c>
      <c r="H15" s="480"/>
      <c r="I15" s="481" t="str">
        <f t="shared" si="0"/>
        <v/>
      </c>
      <c r="J15" s="479"/>
      <c r="K15" s="479"/>
      <c r="L15" s="479"/>
      <c r="M15" s="479"/>
      <c r="N15" s="486"/>
    </row>
    <row r="16" spans="2:15" x14ac:dyDescent="0.2">
      <c r="B16" s="705"/>
      <c r="C16" s="463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4" t="s">
        <v>537</v>
      </c>
      <c r="F16" s="464"/>
      <c r="G16" s="464">
        <v>1</v>
      </c>
      <c r="H16" s="468"/>
      <c r="I16" s="482" t="str">
        <f t="shared" si="0"/>
        <v/>
      </c>
      <c r="J16" s="464"/>
      <c r="K16" s="464"/>
      <c r="L16" s="464"/>
      <c r="M16" s="464"/>
      <c r="N16" s="469"/>
    </row>
    <row r="17" spans="2:14" x14ac:dyDescent="0.2">
      <c r="B17" s="705"/>
      <c r="C17" s="463">
        <f>IF(D17="","",ROW(A17)-10-COUNTBLANK($D$11:D17))</f>
        <v>7</v>
      </c>
      <c r="D17" s="464" t="str">
        <f>IF(E17="","",IF(E16="",ROW($A$11)-10&amp;"."&amp;COUNTA($E$11:E17),ROW($A$11)-10-COUNTBLANK($E$11:E17)&amp;"."&amp;ROW(A17)-10))</f>
        <v>1.7</v>
      </c>
      <c r="E17" s="464" t="s">
        <v>539</v>
      </c>
      <c r="F17" s="464"/>
      <c r="G17" s="464">
        <v>1</v>
      </c>
      <c r="H17" s="468"/>
      <c r="I17" s="482" t="str">
        <f t="shared" si="0"/>
        <v/>
      </c>
      <c r="J17" s="464"/>
      <c r="K17" s="464"/>
      <c r="L17" s="464"/>
      <c r="M17" s="464"/>
      <c r="N17" s="469"/>
    </row>
    <row r="18" spans="2:14" x14ac:dyDescent="0.2">
      <c r="B18" s="705"/>
      <c r="C18" s="463">
        <f>IF(D18="","",ROW(A18)-10-COUNTBLANK($D$11:D18))</f>
        <v>8</v>
      </c>
      <c r="D18" s="464" t="str">
        <f>IF(E18="","",IF(E17="",ROW($A$11)-10&amp;"."&amp;COUNTA($E$11:E18),ROW($A$11)-10-COUNTBLANK($E$11:E18)&amp;"."&amp;ROW(A18)-10))</f>
        <v>1.8</v>
      </c>
      <c r="E18" s="464" t="s">
        <v>540</v>
      </c>
      <c r="F18" s="464"/>
      <c r="G18" s="464">
        <v>2</v>
      </c>
      <c r="H18" s="468"/>
      <c r="I18" s="482" t="str">
        <f t="shared" si="0"/>
        <v/>
      </c>
      <c r="J18" s="464"/>
      <c r="K18" s="464"/>
      <c r="L18" s="464">
        <v>1</v>
      </c>
      <c r="M18" s="464"/>
      <c r="N18" s="469"/>
    </row>
    <row r="19" spans="2:14" x14ac:dyDescent="0.2">
      <c r="B19" s="705"/>
      <c r="C19" s="463">
        <f>IF(D19="","",ROW(A19)-10-COUNTBLANK($D$11:D19))</f>
        <v>9</v>
      </c>
      <c r="D19" s="464" t="str">
        <f>IF(E19="","",IF(E18="",ROW($A$11)-10&amp;"."&amp;COUNTA($E$11:E19),ROW($A$11)-10-COUNTBLANK($E$11:E19)&amp;"."&amp;ROW(A19)-10))</f>
        <v>1.9</v>
      </c>
      <c r="E19" s="464" t="s">
        <v>541</v>
      </c>
      <c r="F19" s="464"/>
      <c r="G19" s="464">
        <v>1</v>
      </c>
      <c r="H19" s="468"/>
      <c r="I19" s="482" t="str">
        <f t="shared" si="0"/>
        <v/>
      </c>
      <c r="J19" s="464"/>
      <c r="K19" s="464"/>
      <c r="L19" s="464"/>
      <c r="M19" s="464"/>
      <c r="N19" s="469"/>
    </row>
    <row r="20" spans="2:14" x14ac:dyDescent="0.2">
      <c r="B20" s="705"/>
      <c r="C20" s="463">
        <f>IF(D20="","",ROW(A20)-10-COUNTBLANK($D$11:D20))</f>
        <v>10</v>
      </c>
      <c r="D20" s="464" t="str">
        <f>IF(E20="","",IF(E19="",ROW($A$11)-10&amp;"."&amp;COUNTA($E$11:E20),ROW($A$11)-10-COUNTBLANK($E$11:E20)&amp;"."&amp;ROW(A20)-10))</f>
        <v>1.10</v>
      </c>
      <c r="E20" s="464" t="s">
        <v>543</v>
      </c>
      <c r="F20" s="464"/>
      <c r="G20" s="464">
        <v>2</v>
      </c>
      <c r="H20" s="468"/>
      <c r="I20" s="482" t="str">
        <f t="shared" si="0"/>
        <v/>
      </c>
      <c r="J20" s="464"/>
      <c r="K20" s="464"/>
      <c r="L20" s="464"/>
      <c r="M20" s="464"/>
      <c r="N20" s="469"/>
    </row>
    <row r="21" spans="2:14" x14ac:dyDescent="0.2">
      <c r="B21" s="705"/>
      <c r="C21" s="463">
        <f>IF(D21="","",ROW(A21)-10-COUNTBLANK($D$11:D21))</f>
        <v>11</v>
      </c>
      <c r="D21" s="464" t="str">
        <f>IF(E21="","",IF(E20="",ROW($A$11)-10&amp;"."&amp;COUNTA($E$11:E21),ROW($A$11)-10-COUNTBLANK($E$11:E21)&amp;"."&amp;ROW(A21)-10))</f>
        <v>1.11</v>
      </c>
      <c r="E21" s="464" t="s">
        <v>544</v>
      </c>
      <c r="F21" s="464"/>
      <c r="G21" s="464">
        <v>1</v>
      </c>
      <c r="H21" s="468"/>
      <c r="I21" s="482" t="str">
        <f t="shared" si="0"/>
        <v/>
      </c>
      <c r="J21" s="464"/>
      <c r="K21" s="464"/>
      <c r="L21" s="464"/>
      <c r="M21" s="464"/>
      <c r="N21" s="469"/>
    </row>
    <row r="22" spans="2:14" x14ac:dyDescent="0.2">
      <c r="B22" s="705"/>
      <c r="C22" s="463">
        <f>IF(D22="","",ROW(A22)-10-COUNTBLANK($D$11:D22))</f>
        <v>12</v>
      </c>
      <c r="D22" s="464" t="str">
        <f>IF(E22="","",IF(E21="",ROW($A$11)-10&amp;"."&amp;COUNTA($E$11:E22),ROW($A$11)-10-COUNTBLANK($E$11:E22)&amp;"."&amp;ROW(A22)-10))</f>
        <v>1.12</v>
      </c>
      <c r="E22" s="464" t="s">
        <v>545</v>
      </c>
      <c r="F22" s="464"/>
      <c r="G22" s="464">
        <v>1</v>
      </c>
      <c r="H22" s="468"/>
      <c r="I22" s="482" t="str">
        <f t="shared" si="0"/>
        <v/>
      </c>
      <c r="J22" s="464"/>
      <c r="K22" s="464"/>
      <c r="L22" s="464"/>
      <c r="M22" s="464"/>
      <c r="N22" s="469"/>
    </row>
    <row r="23" spans="2:14" ht="13.5" thickBot="1" x14ac:dyDescent="0.25">
      <c r="B23" s="705"/>
      <c r="C23" s="463">
        <f>IF(D23="","",ROW(A23)-10-COUNTBLANK($D$11:D23))</f>
        <v>13</v>
      </c>
      <c r="D23" s="464" t="str">
        <f>IF(E23="","",IF(E22="",ROW($A$11)-10&amp;"."&amp;COUNTA($E$11:E23),ROW($A$11)-10-COUNTBLANK($E$11:E23)&amp;"."&amp;ROW(A23)-10))</f>
        <v>1.13</v>
      </c>
      <c r="E23" s="465" t="s">
        <v>547</v>
      </c>
      <c r="F23" s="489">
        <v>44677</v>
      </c>
      <c r="G23" s="464">
        <v>1</v>
      </c>
      <c r="H23" s="468">
        <v>2.9</v>
      </c>
      <c r="I23" s="482">
        <f t="shared" si="0"/>
        <v>2.9</v>
      </c>
      <c r="J23" s="489"/>
      <c r="K23" s="464"/>
      <c r="L23" s="464"/>
      <c r="M23" s="464"/>
      <c r="N23" s="469"/>
    </row>
    <row r="24" spans="2:14" x14ac:dyDescent="0.2">
      <c r="B24" s="704" t="s">
        <v>550</v>
      </c>
      <c r="C24" s="463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E24" s="487"/>
      <c r="F24" s="488"/>
      <c r="G24" s="479"/>
      <c r="H24" s="480"/>
      <c r="I24" s="481" t="str">
        <f t="shared" ref="I24:I33" si="1">IF(H24="","",G24*H24)</f>
        <v/>
      </c>
      <c r="J24" s="488"/>
      <c r="K24" s="479"/>
      <c r="L24" s="479"/>
      <c r="M24" s="479"/>
      <c r="N24" s="486"/>
    </row>
    <row r="25" spans="2:14" x14ac:dyDescent="0.2">
      <c r="B25" s="705"/>
      <c r="C25" s="463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E25" s="465"/>
      <c r="F25" s="489"/>
      <c r="G25" s="464"/>
      <c r="H25" s="468"/>
      <c r="I25" s="482" t="str">
        <f t="shared" si="1"/>
        <v/>
      </c>
      <c r="J25" s="489"/>
      <c r="K25" s="464"/>
      <c r="L25" s="464"/>
      <c r="M25" s="464"/>
      <c r="N25" s="469"/>
    </row>
    <row r="26" spans="2:14" x14ac:dyDescent="0.2">
      <c r="B26" s="705"/>
      <c r="C26" s="463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E26" s="465"/>
      <c r="F26" s="464"/>
      <c r="G26" s="464"/>
      <c r="H26" s="468"/>
      <c r="I26" s="482" t="str">
        <f t="shared" si="1"/>
        <v/>
      </c>
      <c r="J26" s="464"/>
      <c r="K26" s="464"/>
      <c r="L26" s="464"/>
      <c r="M26" s="464"/>
      <c r="N26" s="469"/>
    </row>
    <row r="27" spans="2:14" x14ac:dyDescent="0.2">
      <c r="B27" s="705"/>
      <c r="C27" s="463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E27" s="465"/>
      <c r="F27" s="464"/>
      <c r="G27" s="464"/>
      <c r="H27" s="468"/>
      <c r="I27" s="482" t="str">
        <f t="shared" si="1"/>
        <v/>
      </c>
      <c r="J27" s="464"/>
      <c r="K27" s="464"/>
      <c r="L27" s="464"/>
      <c r="M27" s="464"/>
      <c r="N27" s="469"/>
    </row>
    <row r="28" spans="2:14" x14ac:dyDescent="0.2">
      <c r="B28" s="705"/>
      <c r="C28" s="463" t="str">
        <f>IF(D28="","",ROW(A28)-10-COUNTBLANK($D$11:D28))</f>
        <v/>
      </c>
      <c r="D28" s="464" t="str">
        <f>IF(E28="","",IF(E27="",ROW($A$11)-10&amp;"."&amp;COUNTA($E$11:E28),ROW($A$11)-10-COUNTBLANK($E$11:E28)&amp;"."&amp;ROW(A28)-10))</f>
        <v/>
      </c>
      <c r="E28" s="465"/>
      <c r="F28" s="464"/>
      <c r="G28" s="464"/>
      <c r="H28" s="468"/>
      <c r="I28" s="482" t="str">
        <f t="shared" si="1"/>
        <v/>
      </c>
      <c r="J28" s="464"/>
      <c r="K28" s="464"/>
      <c r="L28" s="464"/>
      <c r="M28" s="464"/>
      <c r="N28" s="469"/>
    </row>
    <row r="29" spans="2:14" x14ac:dyDescent="0.2">
      <c r="B29" s="705"/>
      <c r="C29" s="463" t="str">
        <f>IF(D29="","",ROW(A29)-10-COUNTBLANK($D$11:D29))</f>
        <v/>
      </c>
      <c r="D29" s="464" t="str">
        <f>IF(E29="","",IF(E28="",ROW($A$11)-10&amp;"."&amp;COUNTA($E$11:E29),ROW($A$11)-10-COUNTBLANK($E$11:E29)&amp;"."&amp;ROW(A29)-10))</f>
        <v/>
      </c>
      <c r="E29" s="465"/>
      <c r="F29" s="464"/>
      <c r="G29" s="464"/>
      <c r="H29" s="468"/>
      <c r="I29" s="482" t="str">
        <f t="shared" si="1"/>
        <v/>
      </c>
      <c r="J29" s="464"/>
      <c r="K29" s="464"/>
      <c r="L29" s="464"/>
      <c r="M29" s="464"/>
      <c r="N29" s="469"/>
    </row>
    <row r="30" spans="2:14" x14ac:dyDescent="0.2">
      <c r="B30" s="705"/>
      <c r="C30" s="463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1.14</v>
      </c>
      <c r="E30" s="465" t="s">
        <v>557</v>
      </c>
      <c r="F30" s="464"/>
      <c r="G30" s="464">
        <v>1</v>
      </c>
      <c r="H30" s="468"/>
      <c r="I30" s="482" t="str">
        <f t="shared" si="1"/>
        <v/>
      </c>
      <c r="J30" s="464"/>
      <c r="K30" s="464"/>
      <c r="L30" s="464"/>
      <c r="M30" s="464"/>
      <c r="N30" s="469"/>
    </row>
    <row r="31" spans="2:14" x14ac:dyDescent="0.2">
      <c r="B31" s="705"/>
      <c r="C31" s="463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E31" s="464"/>
      <c r="F31" s="464"/>
      <c r="G31" s="464"/>
      <c r="H31" s="468"/>
      <c r="I31" s="482" t="str">
        <f t="shared" si="1"/>
        <v/>
      </c>
      <c r="J31" s="464"/>
      <c r="K31" s="464"/>
      <c r="L31" s="464"/>
      <c r="M31" s="464"/>
      <c r="N31" s="469"/>
    </row>
    <row r="32" spans="2:14" x14ac:dyDescent="0.2">
      <c r="B32" s="705"/>
      <c r="C32" s="463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E32" s="465"/>
      <c r="F32" s="464"/>
      <c r="G32" s="464"/>
      <c r="H32" s="468"/>
      <c r="I32" s="482" t="str">
        <f t="shared" si="1"/>
        <v/>
      </c>
      <c r="J32" s="464"/>
      <c r="K32" s="464"/>
      <c r="L32" s="464"/>
      <c r="M32" s="464"/>
      <c r="N32" s="469"/>
    </row>
    <row r="33" spans="2:14" ht="13.5" thickBot="1" x14ac:dyDescent="0.25">
      <c r="B33" s="708"/>
      <c r="C33" s="463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E33" s="277"/>
      <c r="F33" s="277"/>
      <c r="G33" s="277"/>
      <c r="H33" s="478"/>
      <c r="I33" s="279" t="str">
        <f t="shared" si="1"/>
        <v/>
      </c>
      <c r="J33" s="277"/>
      <c r="K33" s="277"/>
      <c r="L33" s="277"/>
      <c r="M33" s="277"/>
      <c r="N33" s="485"/>
    </row>
    <row r="34" spans="2:14" x14ac:dyDescent="0.2">
      <c r="B34" s="700" t="s">
        <v>38</v>
      </c>
      <c r="E34" t="s">
        <v>568</v>
      </c>
      <c r="G34">
        <v>1</v>
      </c>
      <c r="H34" s="341"/>
    </row>
    <row r="35" spans="2:14" x14ac:dyDescent="0.2">
      <c r="B35" s="671"/>
      <c r="E35" t="s">
        <v>569</v>
      </c>
      <c r="G35">
        <v>1</v>
      </c>
      <c r="H35" s="341"/>
    </row>
    <row r="36" spans="2:14" x14ac:dyDescent="0.2">
      <c r="B36" s="671"/>
      <c r="E36" t="s">
        <v>570</v>
      </c>
      <c r="G36">
        <v>1</v>
      </c>
      <c r="H36" s="341"/>
    </row>
    <row r="37" spans="2:14" x14ac:dyDescent="0.2">
      <c r="B37" s="671"/>
      <c r="E37" t="s">
        <v>571</v>
      </c>
      <c r="F37" s="491">
        <v>44683</v>
      </c>
      <c r="G37">
        <v>2</v>
      </c>
      <c r="H37" s="341"/>
      <c r="J37" s="491"/>
    </row>
    <row r="38" spans="2:14" x14ac:dyDescent="0.2">
      <c r="B38" s="671"/>
      <c r="E38" t="s">
        <v>570</v>
      </c>
      <c r="F38" s="491">
        <v>44683</v>
      </c>
      <c r="G38">
        <v>1</v>
      </c>
      <c r="H38" s="341">
        <v>12</v>
      </c>
      <c r="J38" s="491"/>
    </row>
    <row r="39" spans="2:14" x14ac:dyDescent="0.2">
      <c r="B39" s="671"/>
      <c r="F39" s="491"/>
      <c r="H39" s="341"/>
      <c r="J39" s="491"/>
    </row>
    <row r="40" spans="2:14" x14ac:dyDescent="0.2">
      <c r="B40" s="671"/>
      <c r="E40" s="340" t="s">
        <v>593</v>
      </c>
      <c r="F40" s="491"/>
      <c r="G40">
        <v>3</v>
      </c>
      <c r="H40" s="341"/>
      <c r="J40" s="491"/>
    </row>
    <row r="41" spans="2:14" x14ac:dyDescent="0.2">
      <c r="B41" s="671"/>
      <c r="E41" s="340" t="s">
        <v>574</v>
      </c>
      <c r="F41" s="491">
        <v>44676</v>
      </c>
      <c r="G41">
        <v>1</v>
      </c>
      <c r="H41" s="341"/>
      <c r="J41" s="491"/>
    </row>
    <row r="42" spans="2:14" x14ac:dyDescent="0.2">
      <c r="B42" s="671"/>
      <c r="E42" s="340" t="s">
        <v>575</v>
      </c>
      <c r="F42" s="491"/>
      <c r="H42" s="341"/>
      <c r="J42" s="491"/>
    </row>
    <row r="43" spans="2:14" x14ac:dyDescent="0.2">
      <c r="B43" s="671"/>
      <c r="E43" s="340" t="s">
        <v>576</v>
      </c>
      <c r="F43" s="491"/>
      <c r="H43" s="341"/>
    </row>
    <row r="44" spans="2:14" x14ac:dyDescent="0.2">
      <c r="B44" s="671"/>
      <c r="E44" s="340" t="s">
        <v>577</v>
      </c>
      <c r="G44">
        <v>1</v>
      </c>
      <c r="H44" s="341"/>
      <c r="J44" s="491">
        <v>44676</v>
      </c>
      <c r="M44">
        <v>1</v>
      </c>
    </row>
    <row r="45" spans="2:14" x14ac:dyDescent="0.2">
      <c r="E45" s="340" t="s">
        <v>579</v>
      </c>
      <c r="G45">
        <v>2</v>
      </c>
      <c r="H45" s="341"/>
    </row>
    <row r="46" spans="2:14" x14ac:dyDescent="0.2">
      <c r="E46" s="340" t="s">
        <v>580</v>
      </c>
      <c r="G46">
        <v>1</v>
      </c>
      <c r="H46" s="341"/>
    </row>
    <row r="47" spans="2:14" x14ac:dyDescent="0.2">
      <c r="E47" s="340" t="s">
        <v>581</v>
      </c>
      <c r="G47">
        <v>1</v>
      </c>
      <c r="H47" s="341"/>
    </row>
    <row r="48" spans="2:14" x14ac:dyDescent="0.2">
      <c r="E48" s="340" t="s">
        <v>582</v>
      </c>
      <c r="G48">
        <v>1</v>
      </c>
      <c r="H48" s="341"/>
    </row>
    <row r="49" spans="2:8" x14ac:dyDescent="0.2">
      <c r="E49" s="340" t="s">
        <v>583</v>
      </c>
      <c r="G49">
        <v>1</v>
      </c>
      <c r="H49" s="341"/>
    </row>
    <row r="50" spans="2:8" x14ac:dyDescent="0.2">
      <c r="E50" s="340" t="s">
        <v>584</v>
      </c>
      <c r="G50">
        <v>1</v>
      </c>
      <c r="H50" s="341"/>
    </row>
    <row r="51" spans="2:8" x14ac:dyDescent="0.2">
      <c r="E51" s="340" t="s">
        <v>592</v>
      </c>
      <c r="G51">
        <v>2</v>
      </c>
      <c r="H51" s="341"/>
    </row>
    <row r="52" spans="2:8" x14ac:dyDescent="0.2">
      <c r="E52" s="340"/>
      <c r="H52" s="341"/>
    </row>
    <row r="53" spans="2:8" x14ac:dyDescent="0.2">
      <c r="E53" s="340"/>
      <c r="H53" s="341"/>
    </row>
    <row r="54" spans="2:8" x14ac:dyDescent="0.2">
      <c r="H54" s="341"/>
    </row>
    <row r="55" spans="2:8" x14ac:dyDescent="0.2">
      <c r="B55" s="701" t="s">
        <v>562</v>
      </c>
      <c r="E55" s="340" t="s">
        <v>585</v>
      </c>
      <c r="G55">
        <v>1</v>
      </c>
      <c r="H55" s="341"/>
    </row>
    <row r="56" spans="2:8" x14ac:dyDescent="0.2">
      <c r="B56" s="671"/>
      <c r="E56" s="340" t="s">
        <v>586</v>
      </c>
      <c r="G56">
        <v>1</v>
      </c>
      <c r="H56" s="341"/>
    </row>
    <row r="57" spans="2:8" x14ac:dyDescent="0.2">
      <c r="B57" s="671"/>
      <c r="E57" s="340" t="s">
        <v>587</v>
      </c>
      <c r="G57">
        <v>1</v>
      </c>
      <c r="H57" s="341"/>
    </row>
    <row r="58" spans="2:8" x14ac:dyDescent="0.2">
      <c r="B58" s="671"/>
      <c r="E58" s="340" t="s">
        <v>588</v>
      </c>
      <c r="G58">
        <v>1</v>
      </c>
      <c r="H58" s="341"/>
    </row>
    <row r="59" spans="2:8" x14ac:dyDescent="0.2">
      <c r="B59" s="671"/>
      <c r="E59" s="340" t="s">
        <v>589</v>
      </c>
      <c r="G59">
        <v>1</v>
      </c>
      <c r="H59" s="341"/>
    </row>
    <row r="60" spans="2:8" x14ac:dyDescent="0.2">
      <c r="B60" s="671"/>
      <c r="E60" s="340" t="s">
        <v>591</v>
      </c>
      <c r="G60">
        <v>1</v>
      </c>
      <c r="H60" s="341"/>
    </row>
    <row r="61" spans="2:8" x14ac:dyDescent="0.2">
      <c r="B61" s="671"/>
      <c r="E61" s="340" t="s">
        <v>590</v>
      </c>
      <c r="G61">
        <v>1</v>
      </c>
      <c r="H61" s="341"/>
    </row>
    <row r="62" spans="2:8" x14ac:dyDescent="0.2">
      <c r="B62" s="671"/>
      <c r="H62" s="341"/>
    </row>
    <row r="63" spans="2:8" x14ac:dyDescent="0.2">
      <c r="B63" s="671"/>
      <c r="H63" s="341"/>
    </row>
    <row r="64" spans="2:8" x14ac:dyDescent="0.2">
      <c r="H64" s="341"/>
    </row>
    <row r="65" spans="8:8" x14ac:dyDescent="0.2">
      <c r="H65" s="341"/>
    </row>
    <row r="66" spans="8:8" x14ac:dyDescent="0.2">
      <c r="H66" s="341"/>
    </row>
    <row r="107" spans="10:10" x14ac:dyDescent="0.2">
      <c r="J107" s="491"/>
    </row>
    <row r="108" spans="10:10" x14ac:dyDescent="0.2">
      <c r="J108" s="491"/>
    </row>
    <row r="109" spans="10:10" x14ac:dyDescent="0.2">
      <c r="J109" s="491"/>
    </row>
    <row r="110" spans="10:10" x14ac:dyDescent="0.2">
      <c r="J110" s="491"/>
    </row>
    <row r="111" spans="10:10" x14ac:dyDescent="0.2">
      <c r="J111" s="473"/>
    </row>
    <row r="112" spans="10:10" x14ac:dyDescent="0.2">
      <c r="J112" s="465"/>
    </row>
    <row r="113" spans="10:10" x14ac:dyDescent="0.2">
      <c r="J113" s="465"/>
    </row>
    <row r="114" spans="10:10" x14ac:dyDescent="0.2">
      <c r="J114" s="465"/>
    </row>
    <row r="115" spans="10:10" x14ac:dyDescent="0.2">
      <c r="J115" s="464"/>
    </row>
    <row r="116" spans="10:10" ht="13.5" thickBot="1" x14ac:dyDescent="0.25">
      <c r="J116" s="277"/>
    </row>
    <row r="117" spans="10:10" x14ac:dyDescent="0.2">
      <c r="J117" s="479"/>
    </row>
    <row r="118" spans="10:10" x14ac:dyDescent="0.2">
      <c r="J118" s="464"/>
    </row>
    <row r="119" spans="10:10" x14ac:dyDescent="0.2">
      <c r="J119" s="464"/>
    </row>
    <row r="120" spans="10:10" x14ac:dyDescent="0.2">
      <c r="J120" s="464"/>
    </row>
    <row r="121" spans="10:10" x14ac:dyDescent="0.2">
      <c r="J121" s="464"/>
    </row>
    <row r="122" spans="10:10" x14ac:dyDescent="0.2">
      <c r="J122" s="464"/>
    </row>
    <row r="123" spans="10:10" x14ac:dyDescent="0.2">
      <c r="J123" s="464"/>
    </row>
    <row r="124" spans="10:10" x14ac:dyDescent="0.2">
      <c r="J124" s="464"/>
    </row>
    <row r="125" spans="10:10" ht="13.5" thickBot="1" x14ac:dyDescent="0.25">
      <c r="J125" s="489"/>
    </row>
    <row r="126" spans="10:10" x14ac:dyDescent="0.2">
      <c r="J126" s="488"/>
    </row>
    <row r="127" spans="10:10" x14ac:dyDescent="0.2">
      <c r="J127" s="489"/>
    </row>
    <row r="128" spans="10:10" x14ac:dyDescent="0.2">
      <c r="J128" s="464"/>
    </row>
    <row r="129" spans="10:10" x14ac:dyDescent="0.2">
      <c r="J129" s="464"/>
    </row>
    <row r="130" spans="10:10" x14ac:dyDescent="0.2">
      <c r="J130" s="464"/>
    </row>
    <row r="131" spans="10:10" x14ac:dyDescent="0.2">
      <c r="J131" s="464"/>
    </row>
    <row r="132" spans="10:10" x14ac:dyDescent="0.2">
      <c r="J132" s="464"/>
    </row>
  </sheetData>
  <mergeCells count="14">
    <mergeCell ref="B34:B44"/>
    <mergeCell ref="B55:B63"/>
    <mergeCell ref="C1:O1"/>
    <mergeCell ref="B15:B23"/>
    <mergeCell ref="C8:D8"/>
    <mergeCell ref="C9:D9"/>
    <mergeCell ref="B24:B33"/>
    <mergeCell ref="B11:B14"/>
    <mergeCell ref="B7:B10"/>
    <mergeCell ref="B4:N4"/>
    <mergeCell ref="B5:N5"/>
    <mergeCell ref="B6:N6"/>
    <mergeCell ref="E7:N7"/>
    <mergeCell ref="E8:N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2"/>
  <sheetViews>
    <sheetView zoomScale="90" zoomScaleNormal="90" workbookViewId="0">
      <selection activeCell="F9" sqref="F9"/>
    </sheetView>
  </sheetViews>
  <sheetFormatPr defaultRowHeight="12.75" x14ac:dyDescent="0.2"/>
  <cols>
    <col min="4" max="4" width="13.85546875" bestFit="1" customWidth="1"/>
    <col min="5" max="5" width="14.85546875" bestFit="1" customWidth="1"/>
    <col min="6" max="6" width="15.42578125" bestFit="1" customWidth="1"/>
    <col min="7" max="7" width="11.85546875" bestFit="1" customWidth="1"/>
    <col min="8" max="8" width="10.140625" bestFit="1" customWidth="1"/>
    <col min="9" max="9" width="10.140625" customWidth="1"/>
    <col min="10" max="10" width="12.5703125" bestFit="1" customWidth="1"/>
    <col min="11" max="11" width="13.140625" customWidth="1"/>
    <col min="12" max="13" width="12.5703125" customWidth="1"/>
    <col min="14" max="14" width="11.7109375" bestFit="1" customWidth="1"/>
    <col min="15" max="15" width="10.140625" bestFit="1" customWidth="1"/>
    <col min="16" max="16" width="9.7109375" customWidth="1"/>
    <col min="17" max="17" width="10.140625" bestFit="1" customWidth="1"/>
    <col min="18" max="18" width="7.85546875" bestFit="1" customWidth="1"/>
    <col min="19" max="19" width="10.140625" bestFit="1" customWidth="1"/>
    <col min="20" max="20" width="10.140625" customWidth="1"/>
    <col min="21" max="21" width="8" customWidth="1"/>
    <col min="22" max="22" width="9" customWidth="1"/>
    <col min="23" max="35" width="3" bestFit="1" customWidth="1"/>
    <col min="36" max="56" width="3.140625" customWidth="1"/>
    <col min="57" max="57" width="3" bestFit="1" customWidth="1"/>
  </cols>
  <sheetData>
    <row r="2" spans="2:14" x14ac:dyDescent="0.2">
      <c r="F2">
        <f>COUNTIF(D11:D17,"")</f>
        <v>1</v>
      </c>
    </row>
    <row r="4" spans="2:14" ht="13.5" thickBot="1" x14ac:dyDescent="0.25"/>
    <row r="5" spans="2:14" x14ac:dyDescent="0.2">
      <c r="B5" s="373"/>
      <c r="C5" s="728" t="s">
        <v>331</v>
      </c>
      <c r="D5" s="729"/>
      <c r="E5" s="729"/>
      <c r="F5" s="729"/>
      <c r="G5" s="729"/>
      <c r="H5" s="729"/>
      <c r="I5" s="729"/>
      <c r="J5" s="729"/>
      <c r="K5" s="729"/>
      <c r="L5" s="729"/>
      <c r="M5" s="729"/>
      <c r="N5" s="730"/>
    </row>
    <row r="6" spans="2:14" x14ac:dyDescent="0.2">
      <c r="B6" s="147"/>
      <c r="C6" s="374" t="s">
        <v>320</v>
      </c>
      <c r="D6" s="731" t="s">
        <v>408</v>
      </c>
      <c r="E6" s="732"/>
      <c r="F6" s="732"/>
      <c r="G6" s="732"/>
      <c r="H6" s="732"/>
      <c r="I6" s="733"/>
      <c r="J6" s="732"/>
      <c r="K6" s="732"/>
      <c r="L6" s="732"/>
      <c r="M6" s="732"/>
      <c r="N6" s="734"/>
    </row>
    <row r="7" spans="2:14" ht="12.75" customHeight="1" x14ac:dyDescent="0.2">
      <c r="B7" s="147"/>
      <c r="C7" s="374" t="s">
        <v>321</v>
      </c>
      <c r="D7" s="731" t="s">
        <v>402</v>
      </c>
      <c r="E7" s="732"/>
      <c r="F7" s="732"/>
      <c r="G7" s="732"/>
      <c r="H7" s="732"/>
      <c r="I7" s="733"/>
      <c r="J7" s="732"/>
      <c r="K7" s="732"/>
      <c r="L7" s="732"/>
      <c r="M7" s="732"/>
      <c r="N7" s="734"/>
    </row>
    <row r="8" spans="2:14" x14ac:dyDescent="0.2">
      <c r="B8" s="147"/>
      <c r="C8" s="374" t="s">
        <v>319</v>
      </c>
      <c r="D8" s="378" t="s">
        <v>307</v>
      </c>
      <c r="E8" s="379" t="s">
        <v>397</v>
      </c>
      <c r="F8" s="379" t="s">
        <v>398</v>
      </c>
      <c r="G8" s="380"/>
      <c r="H8" s="380"/>
      <c r="I8" s="380"/>
      <c r="J8" s="380"/>
      <c r="K8" s="380"/>
      <c r="L8" s="380"/>
      <c r="M8" s="381"/>
      <c r="N8" s="148"/>
    </row>
    <row r="9" spans="2:14" x14ac:dyDescent="0.2">
      <c r="B9" s="147"/>
      <c r="C9" s="374"/>
      <c r="D9" s="298">
        <v>44670</v>
      </c>
      <c r="E9" s="270">
        <f ca="1">TODAY()</f>
        <v>44751</v>
      </c>
      <c r="F9" s="297">
        <f ca="1">NETWORKDAYS.INTL(D9,E9,11,'Dados de Físico Semanal'!F2:F13)</f>
        <v>69</v>
      </c>
      <c r="G9" s="375"/>
      <c r="H9" s="375"/>
      <c r="I9" s="497"/>
      <c r="J9" s="375"/>
      <c r="K9" s="375"/>
      <c r="L9" s="375"/>
      <c r="M9" s="390"/>
      <c r="N9" s="148"/>
    </row>
    <row r="10" spans="2:14" x14ac:dyDescent="0.2">
      <c r="B10" s="147"/>
      <c r="C10" s="370"/>
      <c r="D10" s="271" t="s">
        <v>332</v>
      </c>
      <c r="E10" s="271" t="s">
        <v>333</v>
      </c>
      <c r="F10" s="271"/>
      <c r="G10" s="271" t="s">
        <v>334</v>
      </c>
      <c r="H10" s="271" t="s">
        <v>328</v>
      </c>
      <c r="I10" s="501" t="s">
        <v>597</v>
      </c>
      <c r="J10" s="271" t="s">
        <v>329</v>
      </c>
      <c r="K10" s="271" t="s">
        <v>330</v>
      </c>
      <c r="L10" s="280" t="s">
        <v>395</v>
      </c>
      <c r="M10" s="282" t="s">
        <v>396</v>
      </c>
      <c r="N10" s="391" t="s">
        <v>469</v>
      </c>
    </row>
    <row r="11" spans="2:14" x14ac:dyDescent="0.2">
      <c r="B11" s="726" t="s">
        <v>467</v>
      </c>
      <c r="C11" s="392">
        <f>IF(D11="","",ROW(A1)-COUNTBLANK($D$11:D11))</f>
        <v>1</v>
      </c>
      <c r="D11" s="393" t="str">
        <f>IF(CUST_Diário_M_Obra!D$4&lt;&gt;"",CUST_Diário_M_Obra!D$4,"")</f>
        <v>Edgard</v>
      </c>
      <c r="E11" s="296" t="s">
        <v>422</v>
      </c>
      <c r="F11" s="272"/>
      <c r="G11" s="460">
        <f>CUST_Diário_M_Obra!D7</f>
        <v>66</v>
      </c>
      <c r="H11" s="273">
        <v>135</v>
      </c>
      <c r="I11" s="498"/>
      <c r="J11" s="274">
        <f>IF($H11="","",$H11/9)</f>
        <v>15</v>
      </c>
      <c r="K11" s="274">
        <f>IF($J11="","",$H11*$G11)</f>
        <v>8910</v>
      </c>
      <c r="L11" s="371">
        <v>5</v>
      </c>
      <c r="M11" s="275">
        <f>IFERROR(IF($L11="","",$K11-$L11*$H11),"")</f>
        <v>8235</v>
      </c>
      <c r="N11" s="275">
        <f>IFERROR(IF($L11="","",$L11*$H11+I11),"")</f>
        <v>675</v>
      </c>
    </row>
    <row r="12" spans="2:14" x14ac:dyDescent="0.2">
      <c r="B12" s="726"/>
      <c r="C12" s="392">
        <f>IF(D12="","",ROW(A2)-COUNTBLANK($D$11:D12))</f>
        <v>2</v>
      </c>
      <c r="D12" s="393" t="str">
        <f>IF(CUST_Diário_M_Obra!E$4&lt;&gt;"",CUST_Diário_M_Obra!E$4,"")</f>
        <v>Marcelus</v>
      </c>
      <c r="E12" s="276"/>
      <c r="F12" s="276"/>
      <c r="G12" s="460">
        <f>COUNTA(CUST_Diário_M_Obra!E$15:E$135)</f>
        <v>60</v>
      </c>
      <c r="H12" s="273"/>
      <c r="I12" s="498"/>
      <c r="J12" s="274" t="str">
        <f>IF($H12="","",$H12/9)</f>
        <v/>
      </c>
      <c r="K12" s="274" t="str">
        <f>IF($J12="","",$H12*$G12)</f>
        <v/>
      </c>
      <c r="L12" s="371"/>
      <c r="M12" s="275" t="str">
        <f t="shared" ref="M12:M29" si="0">IFERROR(IF($L12="","",$K12-$L12*H12),"")</f>
        <v/>
      </c>
      <c r="N12" s="275" t="str">
        <f t="shared" ref="N12:N29" si="1">IFERROR(IF($L12="","",$L12*$H12+I12),"")</f>
        <v/>
      </c>
    </row>
    <row r="13" spans="2:14" x14ac:dyDescent="0.2">
      <c r="B13" s="726"/>
      <c r="C13" s="392">
        <f>IF(D13="","",ROW(A3)-COUNTBLANK($D$11:D13))</f>
        <v>3</v>
      </c>
      <c r="D13" s="393" t="str">
        <f>IF(CUST_Diário_M_Obra!F$4&lt;&gt;"",CUST_Diário_M_Obra!F$4,"")</f>
        <v>Samuel</v>
      </c>
      <c r="E13" s="276" t="s">
        <v>416</v>
      </c>
      <c r="F13" s="276"/>
      <c r="G13" s="460">
        <f>COUNTA(CUST_Diário_M_Obra!F$15:F$135)</f>
        <v>74</v>
      </c>
      <c r="H13" s="273">
        <v>165</v>
      </c>
      <c r="I13" s="498"/>
      <c r="J13" s="274">
        <f t="shared" ref="J13:J30" si="2">IF($H13="","",$H13/9)</f>
        <v>18.333333333333332</v>
      </c>
      <c r="K13" s="274">
        <f t="shared" ref="K13:K30" si="3">IF($J13="","",$H13*$G13)</f>
        <v>12210</v>
      </c>
      <c r="L13" s="371">
        <v>3</v>
      </c>
      <c r="M13" s="275">
        <f t="shared" si="0"/>
        <v>11715</v>
      </c>
      <c r="N13" s="275">
        <f t="shared" si="1"/>
        <v>495</v>
      </c>
    </row>
    <row r="14" spans="2:14" x14ac:dyDescent="0.2">
      <c r="B14" s="726"/>
      <c r="C14" s="392">
        <f>IF(D14="","",ROW(A4)-COUNTBLANK($D$11:D14))</f>
        <v>4</v>
      </c>
      <c r="D14" s="393" t="str">
        <f>IF(CUST_Diário_M_Obra!G$4&lt;&gt;"",CUST_Diário_M_Obra!G$4,"")</f>
        <v>Ademir</v>
      </c>
      <c r="E14" s="276"/>
      <c r="F14" s="276"/>
      <c r="G14" s="460">
        <f>COUNTA(CUST_Diário_M_Obra!G$15:G$135)</f>
        <v>68</v>
      </c>
      <c r="H14" s="273"/>
      <c r="I14" s="498"/>
      <c r="J14" s="274" t="str">
        <f t="shared" si="2"/>
        <v/>
      </c>
      <c r="K14" s="274" t="str">
        <f t="shared" si="3"/>
        <v/>
      </c>
      <c r="L14" s="371"/>
      <c r="M14" s="275" t="str">
        <f t="shared" si="0"/>
        <v/>
      </c>
      <c r="N14" s="275" t="str">
        <f t="shared" si="1"/>
        <v/>
      </c>
    </row>
    <row r="15" spans="2:14" x14ac:dyDescent="0.2">
      <c r="B15" s="726"/>
      <c r="C15" s="392">
        <f>IF(D15="","",ROW(A5)-COUNTBLANK($D$11:D15))</f>
        <v>5</v>
      </c>
      <c r="D15" s="393" t="str">
        <f>IF(CUST_Diário_M_Obra!H$4&lt;&gt;"",CUST_Diário_M_Obra!H$4,"")</f>
        <v>Cosme</v>
      </c>
      <c r="E15" s="276"/>
      <c r="F15" s="276"/>
      <c r="G15" s="460">
        <f>COUNTA(CUST_Diário_M_Obra!H$15:H$135)</f>
        <v>33</v>
      </c>
      <c r="H15" s="273"/>
      <c r="I15" s="498"/>
      <c r="J15" s="274" t="str">
        <f t="shared" si="2"/>
        <v/>
      </c>
      <c r="K15" s="274" t="str">
        <f t="shared" si="3"/>
        <v/>
      </c>
      <c r="L15" s="371"/>
      <c r="M15" s="275" t="str">
        <f t="shared" si="0"/>
        <v/>
      </c>
      <c r="N15" s="275" t="str">
        <f t="shared" si="1"/>
        <v/>
      </c>
    </row>
    <row r="16" spans="2:14" x14ac:dyDescent="0.2">
      <c r="B16" s="726"/>
      <c r="C16" s="392">
        <f>IF(D16="","",ROW(A6)-COUNTBLANK($D$11:D16))</f>
        <v>6</v>
      </c>
      <c r="D16" s="393" t="str">
        <f>IF(CUST_Diário_M_Obra!I$4&lt;&gt;"",CUST_Diário_M_Obra!I$4,"")</f>
        <v>Agricio</v>
      </c>
      <c r="E16" s="276"/>
      <c r="F16" s="276"/>
      <c r="G16" s="460">
        <f>COUNTA(CUST_Diário_M_Obra!I$15:I$135)</f>
        <v>35</v>
      </c>
      <c r="H16" s="273"/>
      <c r="I16" s="498"/>
      <c r="J16" s="274" t="str">
        <f t="shared" si="2"/>
        <v/>
      </c>
      <c r="K16" s="274" t="str">
        <f t="shared" si="3"/>
        <v/>
      </c>
      <c r="L16" s="371"/>
      <c r="M16" s="275" t="str">
        <f t="shared" si="0"/>
        <v/>
      </c>
      <c r="N16" s="275" t="str">
        <f t="shared" si="1"/>
        <v/>
      </c>
    </row>
    <row r="17" spans="2:18" ht="13.5" thickBot="1" x14ac:dyDescent="0.25">
      <c r="B17" s="727"/>
      <c r="C17" s="392" t="str">
        <f>IF(D17="","",ROW(A7)-COUNTBLANK($D$11:D17))</f>
        <v/>
      </c>
      <c r="D17" s="395"/>
      <c r="E17" s="277"/>
      <c r="F17" s="277"/>
      <c r="G17" s="461"/>
      <c r="H17" s="278"/>
      <c r="I17" s="499"/>
      <c r="J17" s="279" t="str">
        <f t="shared" si="2"/>
        <v/>
      </c>
      <c r="K17" s="279" t="str">
        <f t="shared" si="3"/>
        <v/>
      </c>
      <c r="L17" s="372"/>
      <c r="M17" s="281" t="str">
        <f t="shared" si="0"/>
        <v/>
      </c>
      <c r="N17" s="275" t="str">
        <f t="shared" si="1"/>
        <v/>
      </c>
    </row>
    <row r="18" spans="2:18" x14ac:dyDescent="0.2">
      <c r="B18" s="726" t="s">
        <v>468</v>
      </c>
      <c r="C18" s="392">
        <f>IF(D18="","",ROW(A8)-COUNTBLANK($D$11:D18))</f>
        <v>7</v>
      </c>
      <c r="D18" s="396" t="str">
        <f>IF(CUST_Diário_M_Obra!J$4&lt;&gt;"",CUST_Diário_M_Obra!J$4,"")</f>
        <v>Ricardo</v>
      </c>
      <c r="E18" s="385" t="s">
        <v>400</v>
      </c>
      <c r="F18" s="385"/>
      <c r="G18" s="462">
        <f>COUNTA(CUST_Diário_M_Obra!J$15:J$135)</f>
        <v>31</v>
      </c>
      <c r="H18" s="386">
        <v>90</v>
      </c>
      <c r="I18" s="386"/>
      <c r="J18" s="387">
        <f>IF($H18="","",$H18/9)</f>
        <v>10</v>
      </c>
      <c r="K18" s="387">
        <f>IF($J18="","",$H18*$G18)</f>
        <v>2790</v>
      </c>
      <c r="L18" s="388">
        <v>1</v>
      </c>
      <c r="M18" s="389">
        <f t="shared" si="0"/>
        <v>2700</v>
      </c>
      <c r="N18" s="275">
        <f>IFERROR(IF($L18="","",$L18*$H18+I18),"")</f>
        <v>90</v>
      </c>
    </row>
    <row r="19" spans="2:18" x14ac:dyDescent="0.2">
      <c r="B19" s="726"/>
      <c r="C19" s="392">
        <f>IF(D19="","",ROW(A9)-COUNTBLANK($D$11:D19))</f>
        <v>8</v>
      </c>
      <c r="D19" s="393" t="str">
        <f>IF(CUST_Diário_M_Obra!K$4&lt;&gt;"",CUST_Diário_M_Obra!K$4,"")</f>
        <v>Silvio</v>
      </c>
      <c r="E19" s="276" t="s">
        <v>400</v>
      </c>
      <c r="F19" s="276"/>
      <c r="G19" s="460">
        <f>COUNTA(CUST_Diário_M_Obra!K$15:K$135)</f>
        <v>31</v>
      </c>
      <c r="H19" s="273">
        <v>90</v>
      </c>
      <c r="I19" s="498"/>
      <c r="J19" s="274">
        <f>IF($H19="","",$H19/9)</f>
        <v>10</v>
      </c>
      <c r="K19" s="274">
        <f>IF($J19="","",$H19*$G19)</f>
        <v>2790</v>
      </c>
      <c r="L19" s="371">
        <v>1</v>
      </c>
      <c r="M19" s="275">
        <f t="shared" si="0"/>
        <v>2700</v>
      </c>
      <c r="N19" s="275">
        <f t="shared" si="1"/>
        <v>90</v>
      </c>
    </row>
    <row r="20" spans="2:18" x14ac:dyDescent="0.2">
      <c r="B20" s="726"/>
      <c r="C20" s="392">
        <f>IF(D20="","",ROW(A10)-COUNTBLANK($D$11:D20))</f>
        <v>9</v>
      </c>
      <c r="D20" s="393" t="str">
        <f>IF(CUST_Diário_M_Obra!L$4&lt;&gt;"",CUST_Diário_M_Obra!L$4,"")</f>
        <v>Luiz Fernando</v>
      </c>
      <c r="E20" s="276" t="s">
        <v>400</v>
      </c>
      <c r="F20" s="276"/>
      <c r="G20" s="460">
        <f>COUNTA(CUST_Diário_M_Obra!L$15:L$135)</f>
        <v>82</v>
      </c>
      <c r="H20" s="273">
        <v>90</v>
      </c>
      <c r="I20" s="498"/>
      <c r="J20" s="274">
        <f t="shared" si="2"/>
        <v>10</v>
      </c>
      <c r="K20" s="274">
        <f t="shared" si="3"/>
        <v>7380</v>
      </c>
      <c r="L20" s="371">
        <v>4</v>
      </c>
      <c r="M20" s="275">
        <f t="shared" si="0"/>
        <v>7020</v>
      </c>
      <c r="N20" s="275">
        <f t="shared" si="1"/>
        <v>360</v>
      </c>
    </row>
    <row r="21" spans="2:18" x14ac:dyDescent="0.2">
      <c r="B21" s="726"/>
      <c r="C21" s="392">
        <f>IF(D21="","",ROW(A11)-COUNTBLANK($D$11:D21))</f>
        <v>10</v>
      </c>
      <c r="D21" s="393" t="str">
        <f>IF(CUST_Diário_M_Obra!M$4&lt;&gt;"",CUST_Diário_M_Obra!M$4,"")</f>
        <v>Richard</v>
      </c>
      <c r="E21" s="276" t="s">
        <v>400</v>
      </c>
      <c r="F21" s="276"/>
      <c r="G21" s="460">
        <f>COUNTA(CUST_Diário_M_Obra!M$15:M$135)</f>
        <v>87</v>
      </c>
      <c r="H21" s="273">
        <v>90</v>
      </c>
      <c r="I21" s="498"/>
      <c r="J21" s="274">
        <f t="shared" si="2"/>
        <v>10</v>
      </c>
      <c r="K21" s="274">
        <f t="shared" si="3"/>
        <v>7830</v>
      </c>
      <c r="L21" s="371">
        <v>3</v>
      </c>
      <c r="M21" s="275">
        <f t="shared" si="0"/>
        <v>7560</v>
      </c>
      <c r="N21" s="275">
        <f t="shared" si="1"/>
        <v>270</v>
      </c>
    </row>
    <row r="22" spans="2:18" x14ac:dyDescent="0.2">
      <c r="B22" s="726"/>
      <c r="C22" s="392">
        <f>IF(D22="","",ROW(A12)-COUNTBLANK($D$11:D22))</f>
        <v>11</v>
      </c>
      <c r="D22" s="393" t="str">
        <f>IF(CUST_Diário_M_Obra!N$4&lt;&gt;"",CUST_Diário_M_Obra!N$4,"")</f>
        <v>Luis Fernando (Batata)</v>
      </c>
      <c r="E22" s="296" t="s">
        <v>400</v>
      </c>
      <c r="F22" s="276"/>
      <c r="G22" s="460">
        <f>COUNTA(CUST_Diário_M_Obra!N$15:N$135)</f>
        <v>62</v>
      </c>
      <c r="H22" s="273">
        <v>90</v>
      </c>
      <c r="I22" s="498">
        <v>10</v>
      </c>
      <c r="J22" s="274">
        <f t="shared" si="2"/>
        <v>10</v>
      </c>
      <c r="K22" s="274">
        <f t="shared" si="3"/>
        <v>5580</v>
      </c>
      <c r="L22" s="371">
        <v>4</v>
      </c>
      <c r="M22" s="275">
        <f t="shared" si="0"/>
        <v>5220</v>
      </c>
      <c r="N22" s="275">
        <f t="shared" si="1"/>
        <v>370</v>
      </c>
    </row>
    <row r="23" spans="2:18" x14ac:dyDescent="0.2">
      <c r="B23" s="726"/>
      <c r="C23" s="392">
        <f>IF(D23="","",ROW(A13)-COUNTBLANK($D$11:D23))</f>
        <v>12</v>
      </c>
      <c r="D23" s="393" t="str">
        <f>IF(CUST_Diário_M_Obra!O$4&lt;&gt;"",CUST_Diário_M_Obra!O$4,"")</f>
        <v>Alex</v>
      </c>
      <c r="E23" s="296" t="s">
        <v>400</v>
      </c>
      <c r="F23" s="276"/>
      <c r="G23" s="460">
        <f>COUNTA(CUST_Diário_M_Obra!O$15:O$135)</f>
        <v>58</v>
      </c>
      <c r="H23" s="273">
        <v>90</v>
      </c>
      <c r="I23" s="498">
        <v>10</v>
      </c>
      <c r="J23" s="274">
        <f t="shared" si="2"/>
        <v>10</v>
      </c>
      <c r="K23" s="274">
        <f t="shared" si="3"/>
        <v>5220</v>
      </c>
      <c r="L23" s="371">
        <v>1</v>
      </c>
      <c r="M23" s="275">
        <f t="shared" si="0"/>
        <v>5130</v>
      </c>
      <c r="N23" s="275">
        <f t="shared" si="1"/>
        <v>100</v>
      </c>
    </row>
    <row r="24" spans="2:18" x14ac:dyDescent="0.2">
      <c r="B24" s="726"/>
      <c r="C24" s="392">
        <f>IF(D24="","",ROW(A14)-COUNTBLANK($D$11:D24))</f>
        <v>13</v>
      </c>
      <c r="D24" s="393" t="str">
        <f>IF(CUST_Diário_M_Obra!P$4&lt;&gt;"",CUST_Diário_M_Obra!P$4,"")</f>
        <v>Marcos</v>
      </c>
      <c r="E24" s="276"/>
      <c r="F24" s="276"/>
      <c r="G24" s="460"/>
      <c r="H24" s="273"/>
      <c r="I24" s="498"/>
      <c r="J24" s="274" t="str">
        <f t="shared" si="2"/>
        <v/>
      </c>
      <c r="K24" s="274" t="str">
        <f t="shared" si="3"/>
        <v/>
      </c>
      <c r="L24" s="371"/>
      <c r="M24" s="275" t="str">
        <f t="shared" si="0"/>
        <v/>
      </c>
      <c r="N24" s="275" t="str">
        <f t="shared" si="1"/>
        <v/>
      </c>
      <c r="R24" t="e">
        <f>matr</f>
        <v>#NAME?</v>
      </c>
    </row>
    <row r="25" spans="2:18" x14ac:dyDescent="0.2">
      <c r="B25" s="726"/>
      <c r="C25" s="392">
        <f>IF(D25="","",ROW(A15)-COUNTBLANK($D$11:D25))</f>
        <v>14</v>
      </c>
      <c r="D25" s="393" t="str">
        <f>IF(CUST_Diário_M_Obra!Q$4&lt;&gt;"",CUST_Diário_M_Obra!Q$4,"")</f>
        <v>Emerson</v>
      </c>
      <c r="E25" s="276"/>
      <c r="F25" s="276"/>
      <c r="G25" s="460"/>
      <c r="H25" s="273"/>
      <c r="I25" s="498"/>
      <c r="J25" s="274" t="str">
        <f t="shared" si="2"/>
        <v/>
      </c>
      <c r="K25" s="274" t="str">
        <f t="shared" si="3"/>
        <v/>
      </c>
      <c r="L25" s="371"/>
      <c r="M25" s="275" t="str">
        <f t="shared" si="0"/>
        <v/>
      </c>
      <c r="N25" s="275" t="str">
        <f t="shared" si="1"/>
        <v/>
      </c>
    </row>
    <row r="26" spans="2:18" x14ac:dyDescent="0.2">
      <c r="B26" s="147"/>
      <c r="C26" s="392" t="str">
        <f>IF(D26="","",ROW(A16)-COUNTBLANK($D$11:D26))</f>
        <v/>
      </c>
      <c r="D26" s="393" t="str">
        <f>IF(CUST_Diário_M_Obra!R$4&lt;&gt;"",CUST_Diário_M_Obra!R$4,"")</f>
        <v/>
      </c>
      <c r="E26" s="276"/>
      <c r="F26" s="276"/>
      <c r="G26" s="460"/>
      <c r="H26" s="273"/>
      <c r="I26" s="498"/>
      <c r="J26" s="274" t="str">
        <f t="shared" si="2"/>
        <v/>
      </c>
      <c r="K26" s="274" t="str">
        <f t="shared" si="3"/>
        <v/>
      </c>
      <c r="L26" s="371"/>
      <c r="M26" s="275" t="str">
        <f t="shared" si="0"/>
        <v/>
      </c>
      <c r="N26" s="275" t="str">
        <f t="shared" si="1"/>
        <v/>
      </c>
    </row>
    <row r="27" spans="2:18" x14ac:dyDescent="0.2">
      <c r="B27" s="147"/>
      <c r="C27" s="392" t="str">
        <f>IF(D27="","",ROW(A17)-COUNTBLANK($D$11:D27))</f>
        <v/>
      </c>
      <c r="D27" s="393"/>
      <c r="E27" s="276"/>
      <c r="F27" s="276"/>
      <c r="G27" s="460"/>
      <c r="H27" s="273"/>
      <c r="I27" s="498"/>
      <c r="J27" s="274" t="str">
        <f t="shared" si="2"/>
        <v/>
      </c>
      <c r="K27" s="274" t="str">
        <f t="shared" si="3"/>
        <v/>
      </c>
      <c r="L27" s="371"/>
      <c r="M27" s="275" t="str">
        <f t="shared" si="0"/>
        <v/>
      </c>
      <c r="N27" s="275" t="str">
        <f t="shared" si="1"/>
        <v/>
      </c>
    </row>
    <row r="28" spans="2:18" x14ac:dyDescent="0.2">
      <c r="B28" s="147"/>
      <c r="C28" s="392" t="str">
        <f>IF(D28="","",ROW(A18)-COUNTBLANK($D$11:D28))</f>
        <v/>
      </c>
      <c r="D28" s="393"/>
      <c r="E28" s="276"/>
      <c r="F28" s="276"/>
      <c r="G28" s="460"/>
      <c r="H28" s="273"/>
      <c r="I28" s="498"/>
      <c r="J28" s="274" t="str">
        <f t="shared" si="2"/>
        <v/>
      </c>
      <c r="K28" s="274" t="str">
        <f t="shared" si="3"/>
        <v/>
      </c>
      <c r="L28" s="371"/>
      <c r="M28" s="275" t="str">
        <f t="shared" si="0"/>
        <v/>
      </c>
      <c r="N28" s="275" t="str">
        <f t="shared" si="1"/>
        <v/>
      </c>
    </row>
    <row r="29" spans="2:18" x14ac:dyDescent="0.2">
      <c r="B29" s="147"/>
      <c r="C29" s="392" t="str">
        <f>IF(D29="","",ROW(A19)-COUNTBLANK($D$11:D29))</f>
        <v/>
      </c>
      <c r="D29" s="393"/>
      <c r="E29" s="369"/>
      <c r="F29" s="369"/>
      <c r="G29" s="460"/>
      <c r="H29" s="376"/>
      <c r="I29" s="500"/>
      <c r="J29" s="274" t="str">
        <f t="shared" si="2"/>
        <v/>
      </c>
      <c r="K29" s="274" t="str">
        <f t="shared" si="3"/>
        <v/>
      </c>
      <c r="L29" s="371"/>
      <c r="M29" s="275" t="str">
        <f t="shared" si="0"/>
        <v/>
      </c>
      <c r="N29" s="275" t="str">
        <f t="shared" si="1"/>
        <v/>
      </c>
    </row>
    <row r="30" spans="2:18" x14ac:dyDescent="0.2">
      <c r="B30" s="147"/>
      <c r="C30" s="392" t="str">
        <f>IF(D30="","",ROW(A20)-COUNTBLANK($D$11:D30))</f>
        <v/>
      </c>
      <c r="D30" s="393"/>
      <c r="E30" s="369"/>
      <c r="F30" s="369"/>
      <c r="G30" s="460"/>
      <c r="H30" s="376"/>
      <c r="I30" s="500"/>
      <c r="J30" s="274" t="str">
        <f t="shared" si="2"/>
        <v/>
      </c>
      <c r="K30" s="274" t="str">
        <f t="shared" si="3"/>
        <v/>
      </c>
      <c r="L30" s="371"/>
      <c r="M30" s="383" t="s">
        <v>424</v>
      </c>
      <c r="N30" s="384"/>
    </row>
    <row r="31" spans="2:18" ht="13.5" thickBot="1" x14ac:dyDescent="0.25">
      <c r="B31" s="184" t="s">
        <v>27</v>
      </c>
      <c r="C31" s="394">
        <f>COUNTA(C11:C29)-COUNTBLANK(C11:C29)</f>
        <v>14</v>
      </c>
      <c r="D31" s="277"/>
      <c r="E31" s="277"/>
      <c r="F31" s="277"/>
      <c r="G31" s="461">
        <f>IFERROR(SUM(G11:G29),"")</f>
        <v>687</v>
      </c>
      <c r="H31" s="278"/>
      <c r="I31" s="499"/>
      <c r="J31" s="279"/>
      <c r="K31" s="279">
        <f>IFERROR(SUM(K11:K29),"")</f>
        <v>52710</v>
      </c>
      <c r="L31" s="372">
        <f>SUM(L11:L29)</f>
        <v>22</v>
      </c>
      <c r="M31" s="382">
        <f>IF(L31="","",K31-SUM(N11:N29))</f>
        <v>50260</v>
      </c>
      <c r="N31" s="377">
        <f>IF(L31="","",K31-M31)</f>
        <v>2450</v>
      </c>
    </row>
    <row r="32" spans="2:18" x14ac:dyDescent="0.2">
      <c r="M32" s="341">
        <f>IF(L31="","",K31-SUM(M11:M29))</f>
        <v>2430</v>
      </c>
    </row>
  </sheetData>
  <mergeCells count="5">
    <mergeCell ref="B11:B17"/>
    <mergeCell ref="B18:B25"/>
    <mergeCell ref="C5:N5"/>
    <mergeCell ref="D6:N6"/>
    <mergeCell ref="D7:N7"/>
  </mergeCells>
  <conditionalFormatting sqref="L11:L30">
    <cfRule type="cellIs" dxfId="347" priority="2" operator="greaterThan">
      <formula>$G$11</formula>
    </cfRule>
  </conditionalFormatting>
  <conditionalFormatting sqref="L31">
    <cfRule type="cellIs" dxfId="346" priority="1" operator="lessThan">
      <formula>$G$31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Scroll Bar 4">
              <controlPr defaultSize="0" autoPict="0">
                <anchor moveWithCells="1">
                  <from>
                    <xdr:col>21</xdr:col>
                    <xdr:colOff>590550</xdr:colOff>
                    <xdr:row>4</xdr:row>
                    <xdr:rowOff>0</xdr:rowOff>
                  </from>
                  <to>
                    <xdr:col>57</xdr:col>
                    <xdr:colOff>9525</xdr:colOff>
                    <xdr:row>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205"/>
  <sheetViews>
    <sheetView tabSelected="1" zoomScale="70" zoomScaleNormal="70" workbookViewId="0">
      <pane xSplit="3" ySplit="11" topLeftCell="D162" activePane="bottomRight" state="frozen"/>
      <selection pane="topRight" activeCell="D1" sqref="D1"/>
      <selection pane="bottomLeft" activeCell="A12" sqref="A12"/>
      <selection pane="bottomRight" activeCell="P179" sqref="P179"/>
    </sheetView>
  </sheetViews>
  <sheetFormatPr defaultRowHeight="12.75" x14ac:dyDescent="0.2"/>
  <cols>
    <col min="2" max="2" width="26.140625" bestFit="1" customWidth="1"/>
    <col min="3" max="3" width="12.7109375" bestFit="1" customWidth="1"/>
    <col min="4" max="6" width="11.5703125" bestFit="1" customWidth="1"/>
    <col min="7" max="7" width="11.7109375" bestFit="1" customWidth="1"/>
    <col min="8" max="8" width="10.7109375" bestFit="1" customWidth="1"/>
    <col min="9" max="9" width="11.140625" bestFit="1" customWidth="1"/>
    <col min="10" max="11" width="10.7109375" bestFit="1" customWidth="1"/>
    <col min="12" max="12" width="12.85546875" bestFit="1" customWidth="1"/>
    <col min="13" max="13" width="11.5703125" bestFit="1" customWidth="1"/>
    <col min="14" max="14" width="20.140625" bestFit="1" customWidth="1"/>
    <col min="15" max="17" width="12.7109375" customWidth="1"/>
    <col min="18" max="18" width="9.140625" customWidth="1"/>
    <col min="19" max="19" width="13.42578125" bestFit="1" customWidth="1"/>
    <col min="21" max="21" width="12" bestFit="1" customWidth="1"/>
  </cols>
  <sheetData>
    <row r="2" spans="2:22" ht="13.5" thickBot="1" x14ac:dyDescent="0.25"/>
    <row r="3" spans="2:22" x14ac:dyDescent="0.2">
      <c r="B3" s="521" t="s">
        <v>307</v>
      </c>
      <c r="C3" s="522"/>
      <c r="D3" s="738" t="s">
        <v>467</v>
      </c>
      <c r="E3" s="739"/>
      <c r="F3" s="739"/>
      <c r="G3" s="739"/>
      <c r="H3" s="739"/>
      <c r="I3" s="740"/>
      <c r="J3" s="741" t="s">
        <v>468</v>
      </c>
      <c r="K3" s="739"/>
      <c r="L3" s="739"/>
      <c r="M3" s="739"/>
      <c r="N3" s="739"/>
      <c r="O3" s="742"/>
      <c r="P3" s="742"/>
      <c r="Q3" s="742"/>
      <c r="R3" s="740"/>
    </row>
    <row r="4" spans="2:22" x14ac:dyDescent="0.2">
      <c r="B4" s="523" t="s">
        <v>407</v>
      </c>
      <c r="C4" s="524" t="s">
        <v>606</v>
      </c>
      <c r="D4" s="525" t="s">
        <v>421</v>
      </c>
      <c r="E4" s="526" t="s">
        <v>608</v>
      </c>
      <c r="F4" s="525" t="s">
        <v>423</v>
      </c>
      <c r="G4" s="525" t="s">
        <v>599</v>
      </c>
      <c r="H4" s="526" t="s">
        <v>600</v>
      </c>
      <c r="I4" s="527" t="s">
        <v>607</v>
      </c>
      <c r="J4" s="528" t="s">
        <v>399</v>
      </c>
      <c r="K4" s="525" t="s">
        <v>401</v>
      </c>
      <c r="L4" s="525" t="s">
        <v>470</v>
      </c>
      <c r="M4" s="525" t="s">
        <v>434</v>
      </c>
      <c r="N4" s="525" t="s">
        <v>598</v>
      </c>
      <c r="O4" s="529" t="s">
        <v>595</v>
      </c>
      <c r="P4" s="529" t="s">
        <v>603</v>
      </c>
      <c r="Q4" s="529" t="s">
        <v>629</v>
      </c>
      <c r="R4" s="530"/>
      <c r="V4" s="340"/>
    </row>
    <row r="5" spans="2:22" x14ac:dyDescent="0.2">
      <c r="B5" s="531" t="s">
        <v>517</v>
      </c>
      <c r="C5" s="532" t="s">
        <v>518</v>
      </c>
      <c r="D5" s="533">
        <v>135</v>
      </c>
      <c r="E5" s="534">
        <v>165</v>
      </c>
      <c r="F5" s="533">
        <v>165</v>
      </c>
      <c r="G5" s="533">
        <v>165</v>
      </c>
      <c r="H5" s="534">
        <v>165</v>
      </c>
      <c r="I5" s="535">
        <v>165</v>
      </c>
      <c r="J5" s="536">
        <v>90</v>
      </c>
      <c r="K5" s="533">
        <v>90</v>
      </c>
      <c r="L5" s="533">
        <v>90</v>
      </c>
      <c r="M5" s="533">
        <v>90</v>
      </c>
      <c r="N5" s="534">
        <v>90</v>
      </c>
      <c r="O5" s="537">
        <v>90</v>
      </c>
      <c r="P5" s="537">
        <v>90</v>
      </c>
      <c r="Q5" s="537">
        <v>90</v>
      </c>
      <c r="R5" s="535"/>
      <c r="V5" s="340"/>
    </row>
    <row r="6" spans="2:22" x14ac:dyDescent="0.2">
      <c r="B6" s="538" t="s">
        <v>594</v>
      </c>
      <c r="C6" s="539"/>
      <c r="D6" s="540" t="str">
        <f t="shared" ref="D6:R6" si="0">IF(SUM(D14,D46,D107)&gt;0,SUM(D14,D46,D107),"")</f>
        <v/>
      </c>
      <c r="E6" s="540" t="str">
        <f t="shared" si="0"/>
        <v/>
      </c>
      <c r="F6" s="540" t="str">
        <f t="shared" si="0"/>
        <v/>
      </c>
      <c r="G6" s="540" t="str">
        <f t="shared" si="0"/>
        <v/>
      </c>
      <c r="H6" s="540" t="str">
        <f t="shared" si="0"/>
        <v/>
      </c>
      <c r="I6" s="540" t="str">
        <f t="shared" si="0"/>
        <v/>
      </c>
      <c r="J6" s="540" t="str">
        <f t="shared" si="0"/>
        <v/>
      </c>
      <c r="K6" s="540" t="str">
        <f t="shared" si="0"/>
        <v/>
      </c>
      <c r="L6" s="540" t="str">
        <f t="shared" si="0"/>
        <v/>
      </c>
      <c r="M6" s="540" t="str">
        <f t="shared" si="0"/>
        <v/>
      </c>
      <c r="N6" s="540">
        <f t="shared" si="0"/>
        <v>10</v>
      </c>
      <c r="O6" s="540">
        <f t="shared" si="0"/>
        <v>10</v>
      </c>
      <c r="P6" s="540" t="str">
        <f t="shared" si="0"/>
        <v/>
      </c>
      <c r="Q6" s="540" t="str">
        <f t="shared" si="0"/>
        <v/>
      </c>
      <c r="R6" s="540" t="str">
        <f t="shared" si="0"/>
        <v/>
      </c>
      <c r="U6" s="341"/>
      <c r="V6" s="340"/>
    </row>
    <row r="7" spans="2:22" x14ac:dyDescent="0.2">
      <c r="B7" s="538" t="s">
        <v>609</v>
      </c>
      <c r="C7" s="541">
        <f ca="1">NETWORKDAYS.INTL(B17-2,TODAY(),11)</f>
        <v>73</v>
      </c>
      <c r="D7" s="542">
        <f>IF(SUM(D23,D33,D57,D67,D77,D87,D109,D159)&gt;0,SUM(D23,D33,D57,D67,D77,D87,D109,D159),"")</f>
        <v>66</v>
      </c>
      <c r="E7" s="542">
        <f t="shared" ref="E7:R7" si="1">IF(SUM(E23,E33,E57,E67,E77,E87,E109,E159)&gt;0,SUM(E23,E33,E57,E67,E77,E87,E109,E159),"")</f>
        <v>40</v>
      </c>
      <c r="F7" s="542">
        <f t="shared" si="1"/>
        <v>34</v>
      </c>
      <c r="G7" s="542">
        <f t="shared" si="1"/>
        <v>28</v>
      </c>
      <c r="H7" s="542">
        <f t="shared" si="1"/>
        <v>3</v>
      </c>
      <c r="I7" s="542">
        <f t="shared" si="1"/>
        <v>4</v>
      </c>
      <c r="J7" s="542">
        <f t="shared" si="1"/>
        <v>1</v>
      </c>
      <c r="K7" s="542">
        <f t="shared" si="1"/>
        <v>1</v>
      </c>
      <c r="L7" s="542">
        <f t="shared" si="1"/>
        <v>44</v>
      </c>
      <c r="M7" s="542">
        <f t="shared" si="1"/>
        <v>43</v>
      </c>
      <c r="N7" s="542">
        <f t="shared" si="1"/>
        <v>22</v>
      </c>
      <c r="O7" s="542">
        <f t="shared" si="1"/>
        <v>22</v>
      </c>
      <c r="P7" s="542">
        <f t="shared" si="1"/>
        <v>4</v>
      </c>
      <c r="Q7" s="542">
        <f t="shared" si="1"/>
        <v>18</v>
      </c>
      <c r="R7" s="542" t="str">
        <f t="shared" si="1"/>
        <v/>
      </c>
      <c r="U7" s="341"/>
      <c r="V7" s="340"/>
    </row>
    <row r="8" spans="2:22" x14ac:dyDescent="0.2">
      <c r="B8" s="543" t="s">
        <v>623</v>
      </c>
      <c r="C8" s="539"/>
      <c r="D8" s="544" t="str">
        <f t="shared" ref="D8:R8" si="2">IF(SUM(D16,D49,D110)&gt;0,SUM(D16,D49,D110),"")</f>
        <v/>
      </c>
      <c r="E8" s="544" t="str">
        <f t="shared" si="2"/>
        <v/>
      </c>
      <c r="F8" s="544" t="str">
        <f t="shared" si="2"/>
        <v/>
      </c>
      <c r="G8" s="544">
        <f t="shared" si="2"/>
        <v>4</v>
      </c>
      <c r="H8" s="544" t="str">
        <f t="shared" si="2"/>
        <v/>
      </c>
      <c r="I8" s="544" t="str">
        <f t="shared" si="2"/>
        <v/>
      </c>
      <c r="J8" s="544" t="str">
        <f t="shared" si="2"/>
        <v/>
      </c>
      <c r="K8" s="544" t="str">
        <f t="shared" si="2"/>
        <v/>
      </c>
      <c r="L8" s="544">
        <f t="shared" si="2"/>
        <v>2</v>
      </c>
      <c r="M8" s="544">
        <f t="shared" si="2"/>
        <v>2</v>
      </c>
      <c r="N8" s="544">
        <f t="shared" si="2"/>
        <v>1</v>
      </c>
      <c r="O8" s="544">
        <f t="shared" si="2"/>
        <v>3</v>
      </c>
      <c r="P8" s="544" t="str">
        <f t="shared" si="2"/>
        <v/>
      </c>
      <c r="Q8" s="544" t="str">
        <f t="shared" si="2"/>
        <v/>
      </c>
      <c r="R8" s="544" t="str">
        <f t="shared" si="2"/>
        <v/>
      </c>
      <c r="U8" s="341"/>
      <c r="V8" s="340"/>
    </row>
    <row r="9" spans="2:22" x14ac:dyDescent="0.2">
      <c r="B9" s="545" t="s">
        <v>516</v>
      </c>
      <c r="C9" s="546">
        <f>SUM($D$9:$R$9)</f>
        <v>43175</v>
      </c>
      <c r="D9" s="540">
        <f>IF(COUNTIF(D15:D205,$B$4)*D5+IF(D6="",0,D6)&gt;0,COUNTIF(D15:D205,$B$4)*D5+IF(D6="",0,D6),"")</f>
        <v>9585</v>
      </c>
      <c r="E9" s="540">
        <f t="shared" ref="E9:R9" si="3">IF(COUNTIF(E15:E205,$B$4)*E5+IF(E6="",0,E6)&gt;0,COUNTIF(E15:E205,$B$4)*E5+IF(E6="",0,E6),"")</f>
        <v>7425</v>
      </c>
      <c r="F9" s="540">
        <f t="shared" si="3"/>
        <v>5610</v>
      </c>
      <c r="G9" s="540">
        <f t="shared" si="3"/>
        <v>4620</v>
      </c>
      <c r="H9" s="540">
        <f t="shared" si="3"/>
        <v>495</v>
      </c>
      <c r="I9" s="540">
        <f t="shared" si="3"/>
        <v>660</v>
      </c>
      <c r="J9" s="540">
        <f t="shared" si="3"/>
        <v>90</v>
      </c>
      <c r="K9" s="540">
        <f t="shared" si="3"/>
        <v>90</v>
      </c>
      <c r="L9" s="540">
        <f t="shared" si="3"/>
        <v>4320</v>
      </c>
      <c r="M9" s="540">
        <f t="shared" si="3"/>
        <v>3870</v>
      </c>
      <c r="N9" s="540">
        <f t="shared" si="3"/>
        <v>1990</v>
      </c>
      <c r="O9" s="540">
        <f t="shared" si="3"/>
        <v>1990</v>
      </c>
      <c r="P9" s="540">
        <f t="shared" si="3"/>
        <v>360</v>
      </c>
      <c r="Q9" s="540">
        <f t="shared" si="3"/>
        <v>2070</v>
      </c>
      <c r="R9" s="540" t="str">
        <f t="shared" si="3"/>
        <v/>
      </c>
    </row>
    <row r="10" spans="2:22" ht="13.5" thickBot="1" x14ac:dyDescent="0.25">
      <c r="B10" s="547" t="s">
        <v>632</v>
      </c>
      <c r="C10" s="632">
        <f>SUM(D10:R10)*-1</f>
        <v>-5880</v>
      </c>
      <c r="D10" s="633">
        <f>IF(AND(D9&gt;0,D9&lt;&gt;""),IF(D9-D25-D35-D59-D69-D79-D89-D117-D127-D137-D147-D165-D175-D185-D195-D205-IF(D6="",0,D6)&gt;0,D9-D25-D35-D59-D69-D79-D89-D117-D127-D137-D147-D165-D175-D185-D195-D205-IF(D6="",0,D6),""),"")</f>
        <v>1755</v>
      </c>
      <c r="E10" s="633">
        <f t="shared" ref="E10:R10" si="4">IF(AND(E9&gt;0,E9&lt;&gt;""),IF(E9-E25-E35-E59-E69-E79-E89-E117-E127-E137-E147-E165-E175-E185-E195-E205-IF(E6="",0,E6)&gt;0,E9-E25-E35-E59-E69-E79-E89-E117-E127-E137-E147-E165-E175-E185-E195-E205-IF(E6="",0,E6),""),"")</f>
        <v>2145</v>
      </c>
      <c r="F10" s="633" t="str">
        <f t="shared" si="4"/>
        <v/>
      </c>
      <c r="G10" s="633" t="str">
        <f t="shared" si="4"/>
        <v/>
      </c>
      <c r="H10" s="633" t="str">
        <f t="shared" si="4"/>
        <v/>
      </c>
      <c r="I10" s="633" t="str">
        <f t="shared" si="4"/>
        <v/>
      </c>
      <c r="J10" s="633" t="str">
        <f t="shared" si="4"/>
        <v/>
      </c>
      <c r="K10" s="633" t="str">
        <f t="shared" si="4"/>
        <v/>
      </c>
      <c r="L10" s="633">
        <f t="shared" si="4"/>
        <v>990</v>
      </c>
      <c r="M10" s="633" t="str">
        <f t="shared" si="4"/>
        <v/>
      </c>
      <c r="N10" s="633" t="str">
        <f t="shared" si="4"/>
        <v/>
      </c>
      <c r="O10" s="633" t="str">
        <f t="shared" si="4"/>
        <v/>
      </c>
      <c r="P10" s="633" t="str">
        <f t="shared" si="4"/>
        <v/>
      </c>
      <c r="Q10" s="633">
        <f t="shared" si="4"/>
        <v>990</v>
      </c>
      <c r="R10" s="633" t="str">
        <f t="shared" si="4"/>
        <v/>
      </c>
    </row>
    <row r="11" spans="2:22" ht="13.5" thickBot="1" x14ac:dyDescent="0.25">
      <c r="B11" s="634"/>
      <c r="C11" s="635"/>
      <c r="D11" s="636"/>
      <c r="E11" s="636"/>
      <c r="F11" s="636"/>
      <c r="G11" s="636"/>
      <c r="H11" s="636"/>
      <c r="I11" s="636"/>
      <c r="J11" s="636"/>
      <c r="K11" s="636"/>
      <c r="L11" s="636"/>
      <c r="M11" s="636"/>
      <c r="N11" s="636"/>
      <c r="O11" s="636"/>
      <c r="P11" s="636"/>
      <c r="Q11" s="636"/>
      <c r="R11" s="637"/>
    </row>
    <row r="12" spans="2:22" ht="13.5" thickBot="1" x14ac:dyDescent="0.25">
      <c r="B12" s="634"/>
      <c r="C12" s="636"/>
      <c r="D12" s="636"/>
      <c r="E12" s="636"/>
      <c r="F12" s="636"/>
      <c r="G12" s="636"/>
      <c r="H12" s="636"/>
      <c r="I12" s="636"/>
      <c r="J12" s="636"/>
      <c r="K12" s="636"/>
      <c r="L12" s="636"/>
      <c r="M12" s="636"/>
      <c r="N12" s="636"/>
      <c r="O12" s="636"/>
      <c r="P12" s="636"/>
      <c r="Q12" s="636"/>
      <c r="R12" s="637"/>
    </row>
    <row r="13" spans="2:22" ht="18" x14ac:dyDescent="0.25">
      <c r="B13" s="735" t="s">
        <v>612</v>
      </c>
      <c r="C13" s="743"/>
      <c r="D13" s="743"/>
      <c r="E13" s="743"/>
      <c r="F13" s="743"/>
      <c r="G13" s="743"/>
      <c r="H13" s="743"/>
      <c r="I13" s="743"/>
      <c r="J13" s="743"/>
      <c r="K13" s="743"/>
      <c r="L13" s="743"/>
      <c r="M13" s="743"/>
      <c r="N13" s="743"/>
      <c r="O13" s="743"/>
      <c r="P13" s="743"/>
      <c r="Q13" s="743"/>
      <c r="R13" s="744"/>
    </row>
    <row r="14" spans="2:22" x14ac:dyDescent="0.2">
      <c r="B14" s="538" t="s">
        <v>594</v>
      </c>
      <c r="C14" s="539"/>
      <c r="D14" s="533"/>
      <c r="E14" s="534"/>
      <c r="F14" s="533"/>
      <c r="G14" s="533"/>
      <c r="H14" s="534"/>
      <c r="I14" s="535"/>
      <c r="J14" s="536"/>
      <c r="K14" s="533"/>
      <c r="L14" s="533"/>
      <c r="M14" s="533"/>
      <c r="N14" s="534">
        <v>10</v>
      </c>
      <c r="O14" s="537">
        <v>10</v>
      </c>
      <c r="P14" s="537"/>
      <c r="Q14" s="537"/>
      <c r="R14" s="535"/>
    </row>
    <row r="15" spans="2:22" x14ac:dyDescent="0.2">
      <c r="B15" s="538" t="s">
        <v>609</v>
      </c>
      <c r="C15" s="539"/>
      <c r="D15" s="542">
        <f t="shared" ref="D15:R15" si="5">IF(SUM(D23,D33)&gt;0,SUM(D23,D33),"")</f>
        <v>11</v>
      </c>
      <c r="E15" s="542" t="str">
        <f t="shared" si="5"/>
        <v/>
      </c>
      <c r="F15" s="542">
        <f t="shared" si="5"/>
        <v>8</v>
      </c>
      <c r="G15" s="542" t="str">
        <f t="shared" si="5"/>
        <v/>
      </c>
      <c r="H15" s="542" t="str">
        <f t="shared" si="5"/>
        <v/>
      </c>
      <c r="I15" s="542" t="str">
        <f t="shared" si="5"/>
        <v/>
      </c>
      <c r="J15" s="542">
        <f t="shared" si="5"/>
        <v>1</v>
      </c>
      <c r="K15" s="542">
        <f t="shared" si="5"/>
        <v>1</v>
      </c>
      <c r="L15" s="542">
        <f t="shared" si="5"/>
        <v>9</v>
      </c>
      <c r="M15" s="542">
        <f t="shared" si="5"/>
        <v>8</v>
      </c>
      <c r="N15" s="542" t="str">
        <f t="shared" si="5"/>
        <v/>
      </c>
      <c r="O15" s="542" t="str">
        <f t="shared" si="5"/>
        <v/>
      </c>
      <c r="P15" s="542" t="str">
        <f t="shared" si="5"/>
        <v/>
      </c>
      <c r="Q15" s="542" t="str">
        <f t="shared" si="5"/>
        <v/>
      </c>
      <c r="R15" s="548" t="str">
        <f t="shared" si="5"/>
        <v/>
      </c>
    </row>
    <row r="16" spans="2:22" x14ac:dyDescent="0.2">
      <c r="B16" s="543" t="s">
        <v>623</v>
      </c>
      <c r="C16" s="539"/>
      <c r="D16" s="544" t="str">
        <f>IF(COUNTIF(D19:D32,'Dados de Físico Semanal'!$C$2)&gt;0,COUNTIF(D19:D32,'Dados de Físico Semanal'!$C$2),"")</f>
        <v/>
      </c>
      <c r="E16" s="544" t="str">
        <f>IF(COUNTIF(E19:E32,'Dados de Físico Semanal'!$C$2)&gt;0,COUNTIF(E19:E32,'Dados de Físico Semanal'!$C$2),"")</f>
        <v/>
      </c>
      <c r="F16" s="544" t="str">
        <f>IF(COUNTIF(F19:F32,'Dados de Físico Semanal'!$C$2)&gt;0,COUNTIF(F19:F32,'Dados de Físico Semanal'!$C$2),"")</f>
        <v/>
      </c>
      <c r="G16" s="544" t="str">
        <f>IF(COUNTIF(G19:G32,'Dados de Físico Semanal'!$C$2)&gt;0,COUNTIF(G19:G32,'Dados de Físico Semanal'!$C$2),"")</f>
        <v/>
      </c>
      <c r="H16" s="544" t="str">
        <f>IF(COUNTIF(H19:H32,'Dados de Físico Semanal'!$C$2)&gt;0,COUNTIF(H19:H32,'Dados de Físico Semanal'!$C$2),"")</f>
        <v/>
      </c>
      <c r="I16" s="544" t="str">
        <f>IF(COUNTIF(I19:I32,'Dados de Físico Semanal'!$C$2)&gt;0,COUNTIF(I19:I32,'Dados de Físico Semanal'!$C$2),"")</f>
        <v/>
      </c>
      <c r="J16" s="544" t="str">
        <f>IF(COUNTIF(J19:J32,'Dados de Físico Semanal'!$C$2)&gt;0,COUNTIF(J19:J32,'Dados de Físico Semanal'!$C$2),"")</f>
        <v/>
      </c>
      <c r="K16" s="544" t="str">
        <f>IF(COUNTIF(K19:K32,'Dados de Físico Semanal'!$C$2)&gt;0,COUNTIF(K19:K32,'Dados de Físico Semanal'!$C$2),"")</f>
        <v/>
      </c>
      <c r="L16" s="544" t="str">
        <f>IF(COUNTIF(L19:L32,'Dados de Físico Semanal'!$C$2)&gt;0,COUNTIF(L19:L32,'Dados de Físico Semanal'!$C$2),"")</f>
        <v/>
      </c>
      <c r="M16" s="544" t="str">
        <f>IF(COUNTIF(M19:M32,'Dados de Físico Semanal'!$C$2)&gt;0,COUNTIF(M19:M32,'Dados de Físico Semanal'!$C$2),"")</f>
        <v/>
      </c>
      <c r="N16" s="544" t="str">
        <f>IF(COUNTIF(N19:N32,'Dados de Físico Semanal'!$C$2)&gt;0,COUNTIF(N19:N32,'Dados de Físico Semanal'!$C$2),"")</f>
        <v/>
      </c>
      <c r="O16" s="544" t="str">
        <f>IF(COUNTIF(O19:O32,'Dados de Físico Semanal'!$C$2)&gt;0,COUNTIF(O19:O32,'Dados de Físico Semanal'!$C$2),"")</f>
        <v/>
      </c>
      <c r="P16" s="544" t="str">
        <f>IF(COUNTIF(P19:P32,'Dados de Físico Semanal'!$C$2)&gt;0,COUNTIF(P19:P32,'Dados de Físico Semanal'!$C$2),"")</f>
        <v/>
      </c>
      <c r="Q16" s="544" t="str">
        <f>IF(COUNTIF(Q19:Q32,'Dados de Físico Semanal'!$C$2)&gt;0,COUNTIF(Q19:Q32,'Dados de Físico Semanal'!$C$2),"")</f>
        <v/>
      </c>
      <c r="R16" s="549" t="str">
        <f>IF(COUNTIF(R19:R32,'Dados de Físico Semanal'!$C$2)&gt;0,COUNTIF(R19:R32,'Dados de Físico Semanal'!$C$2),"")</f>
        <v/>
      </c>
      <c r="V16" s="340"/>
    </row>
    <row r="17" spans="2:22" x14ac:dyDescent="0.2">
      <c r="B17" s="550">
        <v>44669</v>
      </c>
      <c r="C17" s="526">
        <f t="shared" ref="C17:C18" si="6">IF(COUNTIF(D17:R17,$B$4)&gt;0,COUNTIF(D17:R17,$B$4),"")</f>
        <v>1</v>
      </c>
      <c r="D17" s="551" t="s">
        <v>407</v>
      </c>
      <c r="E17" s="552"/>
      <c r="F17" s="552"/>
      <c r="G17" s="552"/>
      <c r="H17" s="552"/>
      <c r="I17" s="552"/>
      <c r="J17" s="551"/>
      <c r="K17" s="551"/>
      <c r="L17" s="552"/>
      <c r="M17" s="552"/>
      <c r="N17" s="552"/>
      <c r="O17" s="552"/>
      <c r="P17" s="552"/>
      <c r="Q17" s="552"/>
      <c r="R17" s="553"/>
      <c r="V17" s="340"/>
    </row>
    <row r="18" spans="2:22" x14ac:dyDescent="0.2">
      <c r="B18" s="550">
        <v>44670</v>
      </c>
      <c r="C18" s="526">
        <f t="shared" si="6"/>
        <v>3</v>
      </c>
      <c r="D18" s="552" t="s">
        <v>407</v>
      </c>
      <c r="E18" s="552"/>
      <c r="F18" s="552"/>
      <c r="G18" s="552"/>
      <c r="H18" s="552"/>
      <c r="I18" s="552"/>
      <c r="J18" s="551" t="s">
        <v>407</v>
      </c>
      <c r="K18" s="551" t="s">
        <v>407</v>
      </c>
      <c r="L18" s="551"/>
      <c r="M18" s="552"/>
      <c r="N18" s="552"/>
      <c r="O18" s="552"/>
      <c r="P18" s="552"/>
      <c r="Q18" s="552"/>
      <c r="R18" s="553"/>
      <c r="V18" s="340"/>
    </row>
    <row r="19" spans="2:22" x14ac:dyDescent="0.2">
      <c r="B19" s="550">
        <v>44671</v>
      </c>
      <c r="C19" s="526">
        <f t="shared" ref="C19:C22" si="7">IF(COUNTIF(D19:R19,$B$4)&gt;0,COUNTIF(D19:R19,$B$4),"")</f>
        <v>2</v>
      </c>
      <c r="D19" s="552" t="s">
        <v>407</v>
      </c>
      <c r="E19" s="552"/>
      <c r="F19" s="551"/>
      <c r="G19" s="552"/>
      <c r="H19" s="552"/>
      <c r="I19" s="552"/>
      <c r="J19" s="552" t="s">
        <v>605</v>
      </c>
      <c r="K19" s="552" t="s">
        <v>605</v>
      </c>
      <c r="L19" s="551" t="s">
        <v>407</v>
      </c>
      <c r="M19" s="552"/>
      <c r="N19" s="552"/>
      <c r="O19" s="552"/>
      <c r="P19" s="552"/>
      <c r="Q19" s="552"/>
      <c r="R19" s="553"/>
    </row>
    <row r="20" spans="2:22" x14ac:dyDescent="0.2">
      <c r="B20" s="550">
        <v>44672</v>
      </c>
      <c r="C20" s="526">
        <f t="shared" si="7"/>
        <v>4</v>
      </c>
      <c r="D20" s="552" t="s">
        <v>407</v>
      </c>
      <c r="E20" s="552"/>
      <c r="F20" s="551" t="s">
        <v>407</v>
      </c>
      <c r="G20" s="552"/>
      <c r="H20" s="552"/>
      <c r="I20" s="552"/>
      <c r="J20" s="552"/>
      <c r="K20" s="552"/>
      <c r="L20" s="551" t="s">
        <v>407</v>
      </c>
      <c r="M20" s="551" t="s">
        <v>407</v>
      </c>
      <c r="N20" s="552"/>
      <c r="O20" s="552"/>
      <c r="P20" s="552"/>
      <c r="Q20" s="552"/>
      <c r="R20" s="553"/>
    </row>
    <row r="21" spans="2:22" x14ac:dyDescent="0.2">
      <c r="B21" s="550">
        <v>44673</v>
      </c>
      <c r="C21" s="526">
        <f t="shared" si="7"/>
        <v>4</v>
      </c>
      <c r="D21" s="552" t="s">
        <v>407</v>
      </c>
      <c r="E21" s="552"/>
      <c r="F21" s="551" t="s">
        <v>407</v>
      </c>
      <c r="G21" s="552"/>
      <c r="H21" s="552"/>
      <c r="I21" s="552"/>
      <c r="J21" s="552"/>
      <c r="K21" s="552"/>
      <c r="L21" s="551" t="s">
        <v>407</v>
      </c>
      <c r="M21" s="551" t="s">
        <v>407</v>
      </c>
      <c r="N21" s="552"/>
      <c r="O21" s="552"/>
      <c r="P21" s="552"/>
      <c r="Q21" s="552"/>
      <c r="R21" s="553"/>
    </row>
    <row r="22" spans="2:22" x14ac:dyDescent="0.2">
      <c r="B22" s="550">
        <v>44674</v>
      </c>
      <c r="C22" s="526">
        <f t="shared" si="7"/>
        <v>4</v>
      </c>
      <c r="D22" s="552" t="s">
        <v>407</v>
      </c>
      <c r="E22" s="552"/>
      <c r="F22" s="551" t="s">
        <v>407</v>
      </c>
      <c r="G22" s="552"/>
      <c r="H22" s="552"/>
      <c r="I22" s="552"/>
      <c r="J22" s="552"/>
      <c r="K22" s="552"/>
      <c r="L22" s="551" t="s">
        <v>407</v>
      </c>
      <c r="M22" s="551" t="s">
        <v>407</v>
      </c>
      <c r="N22" s="552"/>
      <c r="O22" s="552"/>
      <c r="P22" s="552"/>
      <c r="Q22" s="552"/>
      <c r="R22" s="553"/>
    </row>
    <row r="23" spans="2:22" x14ac:dyDescent="0.2">
      <c r="B23" s="538" t="s">
        <v>610</v>
      </c>
      <c r="C23" s="526"/>
      <c r="D23" s="554">
        <f>IF(COUNTIF(D17:D21,$B$4)&gt;0,COUNTIF(D17:D21,$B$4),"")</f>
        <v>5</v>
      </c>
      <c r="E23" s="554" t="str">
        <f t="shared" ref="E23:R23" si="8">IF(COUNTIF(E17:E21,$B$4)&gt;0,COUNTIF(E17:E21,$B$4),"")</f>
        <v/>
      </c>
      <c r="F23" s="554">
        <f t="shared" si="8"/>
        <v>2</v>
      </c>
      <c r="G23" s="554" t="str">
        <f t="shared" si="8"/>
        <v/>
      </c>
      <c r="H23" s="554" t="str">
        <f t="shared" si="8"/>
        <v/>
      </c>
      <c r="I23" s="554" t="str">
        <f t="shared" si="8"/>
        <v/>
      </c>
      <c r="J23" s="554">
        <f t="shared" si="8"/>
        <v>1</v>
      </c>
      <c r="K23" s="554">
        <f t="shared" si="8"/>
        <v>1</v>
      </c>
      <c r="L23" s="554">
        <f t="shared" si="8"/>
        <v>3</v>
      </c>
      <c r="M23" s="554">
        <f t="shared" si="8"/>
        <v>2</v>
      </c>
      <c r="N23" s="554" t="str">
        <f t="shared" si="8"/>
        <v/>
      </c>
      <c r="O23" s="554" t="str">
        <f t="shared" si="8"/>
        <v/>
      </c>
      <c r="P23" s="554" t="str">
        <f t="shared" si="8"/>
        <v/>
      </c>
      <c r="Q23" s="554" t="str">
        <f t="shared" si="8"/>
        <v/>
      </c>
      <c r="R23" s="555" t="str">
        <f t="shared" si="8"/>
        <v/>
      </c>
    </row>
    <row r="24" spans="2:22" x14ac:dyDescent="0.2">
      <c r="B24" s="543" t="s">
        <v>611</v>
      </c>
      <c r="C24" s="556">
        <f ca="1">IF(B22&lt;=TODAY(),SUM(D24:R24),"")</f>
        <v>1635</v>
      </c>
      <c r="D24" s="557">
        <f t="shared" ref="D24:R24" si="9">IF(COUNTIF(D$17:D$21,$B$4)+N("inserir só nas proximas +CONT.SE(D$6:D$7;$B$4)")&gt;0,(COUNTIF(D$17:D$21,$B$4)+N("inserir só nas proximas+CONT.SE(D$6:D$7;$B$4)"))*D$5,"")</f>
        <v>675</v>
      </c>
      <c r="E24" s="557" t="str">
        <f t="shared" si="9"/>
        <v/>
      </c>
      <c r="F24" s="557">
        <f t="shared" si="9"/>
        <v>330</v>
      </c>
      <c r="G24" s="557" t="str">
        <f t="shared" si="9"/>
        <v/>
      </c>
      <c r="H24" s="557" t="str">
        <f t="shared" si="9"/>
        <v/>
      </c>
      <c r="I24" s="557" t="str">
        <f t="shared" si="9"/>
        <v/>
      </c>
      <c r="J24" s="557">
        <f t="shared" si="9"/>
        <v>90</v>
      </c>
      <c r="K24" s="557">
        <f t="shared" si="9"/>
        <v>90</v>
      </c>
      <c r="L24" s="557">
        <f t="shared" si="9"/>
        <v>270</v>
      </c>
      <c r="M24" s="557">
        <f t="shared" si="9"/>
        <v>180</v>
      </c>
      <c r="N24" s="557" t="str">
        <f t="shared" si="9"/>
        <v/>
      </c>
      <c r="O24" s="557" t="str">
        <f t="shared" si="9"/>
        <v/>
      </c>
      <c r="P24" s="557" t="str">
        <f t="shared" si="9"/>
        <v/>
      </c>
      <c r="Q24" s="557" t="str">
        <f t="shared" si="9"/>
        <v/>
      </c>
      <c r="R24" s="558" t="str">
        <f t="shared" si="9"/>
        <v/>
      </c>
    </row>
    <row r="25" spans="2:22" x14ac:dyDescent="0.2">
      <c r="B25" s="559"/>
      <c r="C25" s="638">
        <f ca="1">IF(C24&lt;&gt;"",SUM(D25:R25)-C24,"")</f>
        <v>0</v>
      </c>
      <c r="D25" s="560">
        <v>675</v>
      </c>
      <c r="E25" s="560"/>
      <c r="F25" s="560">
        <v>330</v>
      </c>
      <c r="G25" s="560"/>
      <c r="H25" s="560"/>
      <c r="I25" s="560"/>
      <c r="J25" s="560">
        <v>90</v>
      </c>
      <c r="K25" s="560">
        <v>90</v>
      </c>
      <c r="L25" s="560">
        <v>270</v>
      </c>
      <c r="M25" s="560">
        <v>180</v>
      </c>
      <c r="N25" s="560"/>
      <c r="O25" s="560"/>
      <c r="P25" s="560"/>
      <c r="Q25" s="560"/>
      <c r="R25" s="560"/>
    </row>
    <row r="26" spans="2:22" x14ac:dyDescent="0.2">
      <c r="B26" s="561">
        <v>44675</v>
      </c>
      <c r="C26" s="562"/>
      <c r="D26" s="563"/>
      <c r="E26" s="563"/>
      <c r="F26" s="563"/>
      <c r="G26" s="563"/>
      <c r="H26" s="563"/>
      <c r="I26" s="563"/>
      <c r="J26" s="563"/>
      <c r="K26" s="563"/>
      <c r="L26" s="563"/>
      <c r="M26" s="563"/>
      <c r="N26" s="563"/>
      <c r="O26" s="563"/>
      <c r="P26" s="563"/>
      <c r="Q26" s="563"/>
      <c r="R26" s="564"/>
    </row>
    <row r="27" spans="2:22" x14ac:dyDescent="0.2">
      <c r="B27" s="565">
        <v>44676</v>
      </c>
      <c r="C27" s="566">
        <f t="shared" ref="C27:C32" si="10">IF(COUNTIF(D27:R27,$B$4)&gt;0,COUNTIF(D27:R27,$B$4),"")</f>
        <v>4</v>
      </c>
      <c r="D27" s="567" t="s">
        <v>407</v>
      </c>
      <c r="E27" s="568"/>
      <c r="F27" s="567" t="s">
        <v>407</v>
      </c>
      <c r="G27" s="568"/>
      <c r="H27" s="568"/>
      <c r="I27" s="568"/>
      <c r="J27" s="568"/>
      <c r="K27" s="568"/>
      <c r="L27" s="567" t="s">
        <v>407</v>
      </c>
      <c r="M27" s="567" t="s">
        <v>407</v>
      </c>
      <c r="N27" s="568"/>
      <c r="O27" s="568"/>
      <c r="P27" s="568"/>
      <c r="Q27" s="568"/>
      <c r="R27" s="569"/>
    </row>
    <row r="28" spans="2:22" x14ac:dyDescent="0.2">
      <c r="B28" s="550">
        <v>44677</v>
      </c>
      <c r="C28" s="526">
        <f t="shared" si="10"/>
        <v>4</v>
      </c>
      <c r="D28" s="552" t="s">
        <v>407</v>
      </c>
      <c r="E28" s="552"/>
      <c r="F28" s="552" t="s">
        <v>407</v>
      </c>
      <c r="G28" s="552"/>
      <c r="H28" s="552"/>
      <c r="I28" s="552"/>
      <c r="J28" s="552"/>
      <c r="K28" s="552"/>
      <c r="L28" s="552" t="s">
        <v>407</v>
      </c>
      <c r="M28" s="552" t="s">
        <v>407</v>
      </c>
      <c r="N28" s="552"/>
      <c r="O28" s="552"/>
      <c r="P28" s="552"/>
      <c r="Q28" s="552"/>
      <c r="R28" s="553"/>
    </row>
    <row r="29" spans="2:22" x14ac:dyDescent="0.2">
      <c r="B29" s="550">
        <v>44678</v>
      </c>
      <c r="C29" s="526">
        <f t="shared" si="10"/>
        <v>4</v>
      </c>
      <c r="D29" s="552" t="s">
        <v>407</v>
      </c>
      <c r="E29" s="552"/>
      <c r="F29" s="552" t="s">
        <v>407</v>
      </c>
      <c r="G29" s="552"/>
      <c r="H29" s="552"/>
      <c r="I29" s="552"/>
      <c r="J29" s="552"/>
      <c r="K29" s="552"/>
      <c r="L29" s="552" t="s">
        <v>407</v>
      </c>
      <c r="M29" s="552" t="s">
        <v>407</v>
      </c>
      <c r="N29" s="552"/>
      <c r="O29" s="552"/>
      <c r="P29" s="552"/>
      <c r="Q29" s="552"/>
      <c r="R29" s="553"/>
    </row>
    <row r="30" spans="2:22" x14ac:dyDescent="0.2">
      <c r="B30" s="550">
        <v>44679</v>
      </c>
      <c r="C30" s="526">
        <f t="shared" si="10"/>
        <v>4</v>
      </c>
      <c r="D30" s="552" t="s">
        <v>407</v>
      </c>
      <c r="E30" s="552"/>
      <c r="F30" s="552" t="s">
        <v>407</v>
      </c>
      <c r="G30" s="552"/>
      <c r="H30" s="552"/>
      <c r="I30" s="552"/>
      <c r="J30" s="552"/>
      <c r="K30" s="552"/>
      <c r="L30" s="552" t="s">
        <v>407</v>
      </c>
      <c r="M30" s="552" t="s">
        <v>407</v>
      </c>
      <c r="N30" s="552"/>
      <c r="O30" s="552"/>
      <c r="P30" s="552"/>
      <c r="Q30" s="552"/>
      <c r="R30" s="553"/>
    </row>
    <row r="31" spans="2:22" x14ac:dyDescent="0.2">
      <c r="B31" s="550">
        <v>44680</v>
      </c>
      <c r="C31" s="526">
        <f t="shared" si="10"/>
        <v>4</v>
      </c>
      <c r="D31" s="552" t="s">
        <v>407</v>
      </c>
      <c r="E31" s="552"/>
      <c r="F31" s="552" t="s">
        <v>407</v>
      </c>
      <c r="G31" s="552"/>
      <c r="H31" s="552"/>
      <c r="I31" s="552"/>
      <c r="J31" s="552"/>
      <c r="K31" s="552"/>
      <c r="L31" s="552" t="s">
        <v>407</v>
      </c>
      <c r="M31" s="552" t="s">
        <v>407</v>
      </c>
      <c r="N31" s="552"/>
      <c r="O31" s="552"/>
      <c r="P31" s="552"/>
      <c r="Q31" s="552"/>
      <c r="R31" s="553"/>
    </row>
    <row r="32" spans="2:22" x14ac:dyDescent="0.2">
      <c r="B32" s="550">
        <v>44681</v>
      </c>
      <c r="C32" s="526">
        <f t="shared" si="10"/>
        <v>4</v>
      </c>
      <c r="D32" s="552" t="s">
        <v>407</v>
      </c>
      <c r="E32" s="552"/>
      <c r="F32" s="552" t="s">
        <v>407</v>
      </c>
      <c r="G32" s="552"/>
      <c r="H32" s="552"/>
      <c r="I32" s="552"/>
      <c r="J32" s="552"/>
      <c r="K32" s="552"/>
      <c r="L32" s="552" t="s">
        <v>407</v>
      </c>
      <c r="M32" s="552" t="s">
        <v>407</v>
      </c>
      <c r="N32" s="552"/>
      <c r="O32" s="552"/>
      <c r="P32" s="552"/>
      <c r="Q32" s="552"/>
      <c r="R32" s="553"/>
    </row>
    <row r="33" spans="2:19" x14ac:dyDescent="0.2">
      <c r="B33" s="531" t="s">
        <v>610</v>
      </c>
      <c r="C33" s="526"/>
      <c r="D33" s="554">
        <f>IF(COUNTIF($D$27:$D$31,$B$4)+COUNTIF($D$22:$D$23,$B$4)&gt;0,COUNTIF($D$27:$D$31,$B$4)+COUNTIF($D$22:$D$23,$B$4),"")</f>
        <v>6</v>
      </c>
      <c r="E33" s="554" t="str">
        <f t="shared" ref="E33:R33" si="11">IF(COUNTIF(E27:E31,$B$4)+COUNTIF(E22:E23,$B$4)&gt;0,COUNTIF(E27:E31,$B$4)+COUNTIF(E22:E23,$B$4),"")</f>
        <v/>
      </c>
      <c r="F33" s="554">
        <f t="shared" si="11"/>
        <v>6</v>
      </c>
      <c r="G33" s="554" t="str">
        <f t="shared" si="11"/>
        <v/>
      </c>
      <c r="H33" s="554" t="str">
        <f t="shared" si="11"/>
        <v/>
      </c>
      <c r="I33" s="554" t="str">
        <f t="shared" si="11"/>
        <v/>
      </c>
      <c r="J33" s="554" t="str">
        <f t="shared" si="11"/>
        <v/>
      </c>
      <c r="K33" s="554" t="str">
        <f t="shared" si="11"/>
        <v/>
      </c>
      <c r="L33" s="554">
        <f t="shared" si="11"/>
        <v>6</v>
      </c>
      <c r="M33" s="554">
        <f t="shared" si="11"/>
        <v>6</v>
      </c>
      <c r="N33" s="554" t="str">
        <f t="shared" si="11"/>
        <v/>
      </c>
      <c r="O33" s="554" t="str">
        <f t="shared" si="11"/>
        <v/>
      </c>
      <c r="P33" s="554" t="str">
        <f t="shared" si="11"/>
        <v/>
      </c>
      <c r="Q33" s="554" t="str">
        <f t="shared" si="11"/>
        <v/>
      </c>
      <c r="R33" s="555" t="str">
        <f t="shared" si="11"/>
        <v/>
      </c>
    </row>
    <row r="34" spans="2:19" x14ac:dyDescent="0.2">
      <c r="B34" s="538" t="s">
        <v>611</v>
      </c>
      <c r="C34" s="556">
        <f ca="1">IF(B32&lt;=TODAY(),SUM(D34:R34),"")</f>
        <v>2880</v>
      </c>
      <c r="D34" s="557">
        <f t="shared" ref="D34:R34" si="12">IF(COUNTIF(D$27:D$31,$B$4)+COUNTIF(D$22:D$23,$B$4)&gt;0,(COUNTIF(D$27:D$31,$B$4)+COUNTIF(D$22:D$23,$B$4))*D$5,"")</f>
        <v>810</v>
      </c>
      <c r="E34" s="557" t="str">
        <f t="shared" si="12"/>
        <v/>
      </c>
      <c r="F34" s="557">
        <f t="shared" si="12"/>
        <v>990</v>
      </c>
      <c r="G34" s="557" t="str">
        <f t="shared" si="12"/>
        <v/>
      </c>
      <c r="H34" s="557" t="str">
        <f t="shared" si="12"/>
        <v/>
      </c>
      <c r="I34" s="557" t="str">
        <f t="shared" si="12"/>
        <v/>
      </c>
      <c r="J34" s="557" t="str">
        <f t="shared" si="12"/>
        <v/>
      </c>
      <c r="K34" s="557" t="str">
        <f t="shared" si="12"/>
        <v/>
      </c>
      <c r="L34" s="557">
        <f t="shared" si="12"/>
        <v>540</v>
      </c>
      <c r="M34" s="557">
        <f t="shared" si="12"/>
        <v>540</v>
      </c>
      <c r="N34" s="557" t="str">
        <f t="shared" si="12"/>
        <v/>
      </c>
      <c r="O34" s="557" t="str">
        <f t="shared" si="12"/>
        <v/>
      </c>
      <c r="P34" s="557" t="str">
        <f t="shared" si="12"/>
        <v/>
      </c>
      <c r="Q34" s="557" t="str">
        <f t="shared" si="12"/>
        <v/>
      </c>
      <c r="R34" s="558" t="str">
        <f t="shared" si="12"/>
        <v/>
      </c>
    </row>
    <row r="35" spans="2:19" x14ac:dyDescent="0.2">
      <c r="B35" s="543"/>
      <c r="C35" s="638">
        <f ca="1">IF(C34&lt;&gt;"",SUM(D35:R35)-C34,"")</f>
        <v>0</v>
      </c>
      <c r="D35" s="560">
        <v>810</v>
      </c>
      <c r="E35" s="560"/>
      <c r="F35" s="560">
        <v>990</v>
      </c>
      <c r="G35" s="560"/>
      <c r="H35" s="560"/>
      <c r="I35" s="560"/>
      <c r="J35" s="560"/>
      <c r="K35" s="560"/>
      <c r="L35" s="560">
        <v>540</v>
      </c>
      <c r="M35" s="560">
        <v>540</v>
      </c>
      <c r="N35" s="560"/>
      <c r="O35" s="560"/>
      <c r="P35" s="560"/>
      <c r="Q35" s="560"/>
      <c r="R35" s="560"/>
    </row>
    <row r="36" spans="2:19" ht="13.5" thickBot="1" x14ac:dyDescent="0.25">
      <c r="B36" s="571" t="s">
        <v>624</v>
      </c>
      <c r="C36" s="572">
        <f>SUM(D36:R36)</f>
        <v>4515</v>
      </c>
      <c r="D36" s="573">
        <f t="shared" ref="D36:R36" si="13">IFERROR(IF(SUM(D24,D34)&gt;0,SUM(D24,D34),""),"")</f>
        <v>1485</v>
      </c>
      <c r="E36" s="573" t="str">
        <f t="shared" si="13"/>
        <v/>
      </c>
      <c r="F36" s="573">
        <f t="shared" si="13"/>
        <v>1320</v>
      </c>
      <c r="G36" s="573" t="str">
        <f t="shared" si="13"/>
        <v/>
      </c>
      <c r="H36" s="573" t="str">
        <f t="shared" si="13"/>
        <v/>
      </c>
      <c r="I36" s="573" t="str">
        <f t="shared" si="13"/>
        <v/>
      </c>
      <c r="J36" s="573">
        <f t="shared" si="13"/>
        <v>90</v>
      </c>
      <c r="K36" s="573">
        <f t="shared" si="13"/>
        <v>90</v>
      </c>
      <c r="L36" s="573">
        <f t="shared" si="13"/>
        <v>810</v>
      </c>
      <c r="M36" s="573">
        <f t="shared" si="13"/>
        <v>720</v>
      </c>
      <c r="N36" s="573" t="str">
        <f t="shared" si="13"/>
        <v/>
      </c>
      <c r="O36" s="573" t="str">
        <f t="shared" si="13"/>
        <v/>
      </c>
      <c r="P36" s="573" t="str">
        <f t="shared" si="13"/>
        <v/>
      </c>
      <c r="Q36" s="573" t="str">
        <f t="shared" si="13"/>
        <v/>
      </c>
      <c r="R36" s="574" t="str">
        <f t="shared" si="13"/>
        <v/>
      </c>
    </row>
    <row r="37" spans="2:19" x14ac:dyDescent="0.2"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75"/>
      <c r="P37" s="575"/>
      <c r="Q37" s="575"/>
      <c r="R37" s="575"/>
    </row>
    <row r="38" spans="2:19" x14ac:dyDescent="0.2">
      <c r="B38" s="575"/>
      <c r="C38" s="575"/>
      <c r="D38" s="575"/>
      <c r="E38" s="575"/>
      <c r="F38" s="575"/>
      <c r="G38" s="575"/>
      <c r="H38" s="575"/>
      <c r="I38" s="575"/>
      <c r="J38" s="575"/>
      <c r="K38" s="575"/>
      <c r="L38" s="575"/>
      <c r="M38" s="575"/>
      <c r="N38" s="575"/>
      <c r="O38" s="575"/>
      <c r="P38" s="575"/>
      <c r="Q38" s="575"/>
      <c r="R38" s="575"/>
    </row>
    <row r="39" spans="2:19" x14ac:dyDescent="0.2"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341"/>
    </row>
    <row r="40" spans="2:19" x14ac:dyDescent="0.2"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341"/>
    </row>
    <row r="41" spans="2:19" x14ac:dyDescent="0.2">
      <c r="B41" s="575"/>
      <c r="C41" s="575"/>
      <c r="D41" s="575"/>
      <c r="E41" s="575"/>
      <c r="F41" s="575"/>
      <c r="G41" s="575"/>
      <c r="H41" s="575"/>
      <c r="I41" s="575"/>
      <c r="J41" s="575"/>
      <c r="K41" s="575"/>
      <c r="L41" s="575"/>
      <c r="M41" s="575"/>
      <c r="N41" s="575"/>
      <c r="O41" s="575"/>
      <c r="P41" s="575"/>
      <c r="Q41" s="575"/>
      <c r="R41" s="575"/>
      <c r="S41" s="341"/>
    </row>
    <row r="42" spans="2:19" x14ac:dyDescent="0.2">
      <c r="B42" s="575"/>
      <c r="C42" s="575"/>
      <c r="D42" s="575"/>
      <c r="E42" s="575"/>
      <c r="F42" s="575"/>
      <c r="G42" s="575"/>
      <c r="H42" s="575"/>
      <c r="I42" s="575"/>
      <c r="J42" s="575"/>
      <c r="K42" s="575"/>
      <c r="L42" s="575"/>
      <c r="M42" s="575"/>
      <c r="N42" s="575"/>
      <c r="O42" s="575"/>
      <c r="P42" s="575"/>
      <c r="Q42" s="575"/>
      <c r="R42" s="575"/>
      <c r="S42" s="341"/>
    </row>
    <row r="43" spans="2:19" x14ac:dyDescent="0.2">
      <c r="B43" s="575"/>
      <c r="C43" s="575"/>
      <c r="D43" s="575"/>
      <c r="E43" s="575"/>
      <c r="F43" s="575"/>
      <c r="G43" s="575"/>
      <c r="H43" s="575"/>
      <c r="I43" s="575"/>
      <c r="J43" s="575"/>
      <c r="K43" s="575"/>
      <c r="L43" s="575"/>
      <c r="M43" s="575"/>
      <c r="N43" s="575"/>
      <c r="O43" s="575"/>
      <c r="P43" s="575"/>
      <c r="Q43" s="575"/>
      <c r="R43" s="575"/>
      <c r="S43" s="341"/>
    </row>
    <row r="44" spans="2:19" ht="13.5" thickBot="1" x14ac:dyDescent="0.25"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75"/>
      <c r="P44" s="575"/>
      <c r="Q44" s="575"/>
      <c r="R44" s="575"/>
      <c r="S44" s="341"/>
    </row>
    <row r="45" spans="2:19" ht="18" x14ac:dyDescent="0.25">
      <c r="B45" s="735" t="s">
        <v>613</v>
      </c>
      <c r="C45" s="736"/>
      <c r="D45" s="736"/>
      <c r="E45" s="736"/>
      <c r="F45" s="736"/>
      <c r="G45" s="736"/>
      <c r="H45" s="736"/>
      <c r="I45" s="736"/>
      <c r="J45" s="736"/>
      <c r="K45" s="736"/>
      <c r="L45" s="736"/>
      <c r="M45" s="736"/>
      <c r="N45" s="736"/>
      <c r="O45" s="736"/>
      <c r="P45" s="736"/>
      <c r="Q45" s="736"/>
      <c r="R45" s="737"/>
      <c r="S45" s="341"/>
    </row>
    <row r="46" spans="2:19" x14ac:dyDescent="0.2">
      <c r="B46" s="538" t="s">
        <v>594</v>
      </c>
      <c r="C46" s="539"/>
      <c r="D46" s="533"/>
      <c r="E46" s="534"/>
      <c r="F46" s="533"/>
      <c r="G46" s="533"/>
      <c r="H46" s="534"/>
      <c r="I46" s="535"/>
      <c r="J46" s="536"/>
      <c r="K46" s="533"/>
      <c r="L46" s="533"/>
      <c r="M46" s="533"/>
      <c r="N46" s="534"/>
      <c r="O46" s="537"/>
      <c r="P46" s="537"/>
      <c r="Q46" s="537"/>
      <c r="R46" s="535"/>
      <c r="S46" s="341"/>
    </row>
    <row r="47" spans="2:19" x14ac:dyDescent="0.2">
      <c r="B47" s="538" t="s">
        <v>634</v>
      </c>
      <c r="C47" s="539"/>
      <c r="D47" s="542">
        <f>IF(IF(SUM(D57,D67,D77,D87,D93)&gt;0,SUM(D57,D67,D77,D87,D93),0)-IF(COUNTIF(D32:D33,$B$4)&gt;0,COUNTIF(D32:D33,$B$4),0)&gt;0,IF(SUM(D57,D67,D77,D87,D93)&gt;0,SUM(D57,D67,D77,D87,D93),0)-IF(COUNTIF(D32:D33,$B$4)&gt;0,COUNTIF(D32:D33,$B$4),0),"")</f>
        <v>27</v>
      </c>
      <c r="E47" s="542">
        <f t="shared" ref="E47:R47" si="14">IF(IF(SUM(E57,E67,E77,E87,E93)&gt;0,SUM(E57,E67,E77,E87,E93),0)-IF(COUNTIF(E32:E33,$B$4)&gt;0,COUNTIF(E32:E33,$B$4),0)&gt;0,IF(SUM(E57,E67,E77,E87,E93)&gt;0,SUM(E57,E67,E77,E87,E93),0)-IF(COUNTIF(E32:E33,$B$4)&gt;0,COUNTIF(E32:E33,$B$4),0),"")</f>
        <v>11</v>
      </c>
      <c r="F47" s="542">
        <f t="shared" si="14"/>
        <v>25</v>
      </c>
      <c r="G47" s="542">
        <f t="shared" si="14"/>
        <v>15</v>
      </c>
      <c r="H47" s="542">
        <f t="shared" si="14"/>
        <v>3</v>
      </c>
      <c r="I47" s="542">
        <f t="shared" si="14"/>
        <v>4</v>
      </c>
      <c r="J47" s="542" t="str">
        <f t="shared" si="14"/>
        <v/>
      </c>
      <c r="K47" s="542" t="str">
        <f t="shared" si="14"/>
        <v/>
      </c>
      <c r="L47" s="542">
        <f t="shared" si="14"/>
        <v>23</v>
      </c>
      <c r="M47" s="542">
        <f t="shared" si="14"/>
        <v>25</v>
      </c>
      <c r="N47" s="542">
        <f t="shared" si="14"/>
        <v>22</v>
      </c>
      <c r="O47" s="542">
        <f t="shared" si="14"/>
        <v>19</v>
      </c>
      <c r="P47" s="542">
        <f t="shared" si="14"/>
        <v>4</v>
      </c>
      <c r="Q47" s="542" t="str">
        <f t="shared" si="14"/>
        <v/>
      </c>
      <c r="R47" s="542" t="str">
        <f t="shared" si="14"/>
        <v/>
      </c>
      <c r="S47" s="341"/>
    </row>
    <row r="48" spans="2:19" x14ac:dyDescent="0.2">
      <c r="B48" s="538" t="s">
        <v>633</v>
      </c>
      <c r="C48" s="539"/>
      <c r="D48" s="542">
        <f>IF(SUM(D57,D67,D77,D87,D93)&gt;0,SUM(D57,D67,D77,D87,D93),"")</f>
        <v>28</v>
      </c>
      <c r="E48" s="542">
        <f t="shared" ref="E48:R48" si="15">IF(SUM(E57,E67,E77,E87,E93)&gt;0,SUM(E57,E67,E77,E87,E93),"")</f>
        <v>11</v>
      </c>
      <c r="F48" s="542">
        <f t="shared" si="15"/>
        <v>26</v>
      </c>
      <c r="G48" s="542">
        <f t="shared" si="15"/>
        <v>15</v>
      </c>
      <c r="H48" s="542">
        <f t="shared" si="15"/>
        <v>3</v>
      </c>
      <c r="I48" s="542">
        <f t="shared" si="15"/>
        <v>4</v>
      </c>
      <c r="J48" s="542" t="str">
        <f t="shared" si="15"/>
        <v/>
      </c>
      <c r="K48" s="542" t="str">
        <f t="shared" si="15"/>
        <v/>
      </c>
      <c r="L48" s="542">
        <f t="shared" si="15"/>
        <v>24</v>
      </c>
      <c r="M48" s="542">
        <f t="shared" si="15"/>
        <v>26</v>
      </c>
      <c r="N48" s="542">
        <f t="shared" si="15"/>
        <v>22</v>
      </c>
      <c r="O48" s="542">
        <f t="shared" si="15"/>
        <v>19</v>
      </c>
      <c r="P48" s="542">
        <f t="shared" si="15"/>
        <v>4</v>
      </c>
      <c r="Q48" s="542" t="str">
        <f t="shared" si="15"/>
        <v/>
      </c>
      <c r="R48" s="542" t="str">
        <f t="shared" si="15"/>
        <v/>
      </c>
      <c r="S48" s="341"/>
    </row>
    <row r="49" spans="2:19" x14ac:dyDescent="0.2">
      <c r="B49" s="543" t="s">
        <v>623</v>
      </c>
      <c r="C49" s="539"/>
      <c r="D49" s="544" t="str">
        <f>IF(COUNTIF(D50:D92,'Dados de Físico Semanal'!$C$2)&gt;0,COUNTIF(D50:D92,'Dados de Físico Semanal'!$C$2),"")</f>
        <v/>
      </c>
      <c r="E49" s="544" t="str">
        <f>IF(COUNTIF(E50:E92,'Dados de Físico Semanal'!$C$2)&gt;0,COUNTIF(E50:E92,'Dados de Físico Semanal'!$C$2),"")</f>
        <v/>
      </c>
      <c r="F49" s="544" t="str">
        <f>IF(COUNTIF(F50:F92,'Dados de Físico Semanal'!$C$2)&gt;0,COUNTIF(F50:F92,'Dados de Físico Semanal'!$C$2),"")</f>
        <v/>
      </c>
      <c r="G49" s="544" t="str">
        <f>IF(COUNTIF(G50:G92,'Dados de Físico Semanal'!$C$2)&gt;0,COUNTIF(G50:G92,'Dados de Físico Semanal'!$C$2),"")</f>
        <v/>
      </c>
      <c r="H49" s="544" t="str">
        <f>IF(COUNTIF(H50:H92,'Dados de Físico Semanal'!$C$2)&gt;0,COUNTIF(H50:H92,'Dados de Físico Semanal'!$C$2),"")</f>
        <v/>
      </c>
      <c r="I49" s="544" t="str">
        <f>IF(COUNTIF(I50:I92,'Dados de Físico Semanal'!$C$2)&gt;0,COUNTIF(I50:I92,'Dados de Físico Semanal'!$C$2),"")</f>
        <v/>
      </c>
      <c r="J49" s="544" t="str">
        <f>IF(COUNTIF(J50:J92,'Dados de Físico Semanal'!$C$2)&gt;0,COUNTIF(J50:J92,'Dados de Físico Semanal'!$C$2),"")</f>
        <v/>
      </c>
      <c r="K49" s="544" t="str">
        <f>IF(COUNTIF(K50:K92,'Dados de Físico Semanal'!$C$2)&gt;0,COUNTIF(K50:K92,'Dados de Físico Semanal'!$C$2),"")</f>
        <v/>
      </c>
      <c r="L49" s="544">
        <f>IF(COUNTIF(L50:L92,'Dados de Físico Semanal'!$C$2)&gt;0,COUNTIF(L50:L92,'Dados de Físico Semanal'!$C$2),"")</f>
        <v>2</v>
      </c>
      <c r="M49" s="544" t="str">
        <f>IF(COUNTIF(M50:M92,'Dados de Físico Semanal'!$C$2)&gt;0,COUNTIF(M50:M92,'Dados de Físico Semanal'!$C$2),"")</f>
        <v/>
      </c>
      <c r="N49" s="544">
        <f>IF(COUNTIF(N50:N92,'Dados de Físico Semanal'!$C$2)&gt;0,COUNTIF(N50:N92,'Dados de Físico Semanal'!$C$2),"")</f>
        <v>1</v>
      </c>
      <c r="O49" s="544">
        <f>IF(COUNTIF(O50:O92,'Dados de Físico Semanal'!$C$2)&gt;0,COUNTIF(O50:O92,'Dados de Físico Semanal'!$C$2),"")</f>
        <v>1</v>
      </c>
      <c r="P49" s="544" t="str">
        <f>IF(COUNTIF(P50:P92,'Dados de Físico Semanal'!$C$2)&gt;0,COUNTIF(P50:P92,'Dados de Físico Semanal'!$C$2),"")</f>
        <v/>
      </c>
      <c r="Q49" s="544" t="str">
        <f>IF(COUNTIF(Q50:Q92,'Dados de Físico Semanal'!$C$2)&gt;0,COUNTIF(Q50:Q92,'Dados de Físico Semanal'!$C$2),"")</f>
        <v/>
      </c>
      <c r="R49" s="549" t="str">
        <f>IF(COUNTIF(R50:R92,'Dados de Físico Semanal'!$C$2)&gt;0,COUNTIF(R50:R92,'Dados de Físico Semanal'!$C$2),"")</f>
        <v/>
      </c>
    </row>
    <row r="50" spans="2:19" x14ac:dyDescent="0.2">
      <c r="B50" s="576">
        <v>44682</v>
      </c>
      <c r="C50" s="562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4"/>
    </row>
    <row r="51" spans="2:19" x14ac:dyDescent="0.2">
      <c r="B51" s="565">
        <v>44683</v>
      </c>
      <c r="C51" s="187">
        <f t="shared" ref="C51" si="16">IF(COUNTIF(D51:R51,$B$4)&gt;0,COUNTIF(D51:R51,$B$4),"")</f>
        <v>4</v>
      </c>
      <c r="D51" s="567" t="s">
        <v>407</v>
      </c>
      <c r="E51" s="568"/>
      <c r="F51" s="567" t="s">
        <v>407</v>
      </c>
      <c r="G51" s="568"/>
      <c r="H51" s="568"/>
      <c r="I51" s="569"/>
      <c r="J51" s="577"/>
      <c r="K51" s="577"/>
      <c r="L51" s="567" t="s">
        <v>407</v>
      </c>
      <c r="M51" s="567" t="s">
        <v>407</v>
      </c>
      <c r="N51" s="568"/>
      <c r="O51" s="578"/>
      <c r="P51" s="578"/>
      <c r="Q51" s="578"/>
      <c r="R51" s="569"/>
    </row>
    <row r="52" spans="2:19" x14ac:dyDescent="0.2">
      <c r="B52" s="550">
        <v>44684</v>
      </c>
      <c r="C52" s="187">
        <f t="shared" ref="C52:C56" si="17">IF(COUNTIF(D52:R52,$B$4)&gt;0,COUNTIF(D52:R52,$B$4),"")</f>
        <v>4</v>
      </c>
      <c r="D52" s="551" t="s">
        <v>407</v>
      </c>
      <c r="E52" s="552"/>
      <c r="F52" s="551" t="s">
        <v>407</v>
      </c>
      <c r="G52" s="552"/>
      <c r="H52" s="552"/>
      <c r="I52" s="553"/>
      <c r="J52" s="579"/>
      <c r="K52" s="579"/>
      <c r="L52" s="551" t="s">
        <v>407</v>
      </c>
      <c r="M52" s="551" t="s">
        <v>407</v>
      </c>
      <c r="N52" s="552"/>
      <c r="O52" s="580"/>
      <c r="P52" s="580"/>
      <c r="Q52" s="580"/>
      <c r="R52" s="553"/>
    </row>
    <row r="53" spans="2:19" x14ac:dyDescent="0.2">
      <c r="B53" s="550">
        <v>44685</v>
      </c>
      <c r="C53" s="187">
        <f t="shared" si="17"/>
        <v>5</v>
      </c>
      <c r="D53" s="551" t="s">
        <v>407</v>
      </c>
      <c r="E53" s="552"/>
      <c r="F53" s="551" t="s">
        <v>407</v>
      </c>
      <c r="G53" s="552"/>
      <c r="H53" s="552"/>
      <c r="I53" s="553"/>
      <c r="J53" s="579"/>
      <c r="K53" s="579"/>
      <c r="L53" s="551" t="s">
        <v>407</v>
      </c>
      <c r="M53" s="551" t="s">
        <v>407</v>
      </c>
      <c r="N53" s="551" t="s">
        <v>407</v>
      </c>
      <c r="O53" s="581"/>
      <c r="P53" s="581"/>
      <c r="Q53" s="581"/>
      <c r="R53" s="553"/>
    </row>
    <row r="54" spans="2:19" x14ac:dyDescent="0.2">
      <c r="B54" s="550">
        <v>44686</v>
      </c>
      <c r="C54" s="187">
        <f t="shared" si="17"/>
        <v>5</v>
      </c>
      <c r="D54" s="551" t="s">
        <v>407</v>
      </c>
      <c r="E54" s="552"/>
      <c r="F54" s="551" t="s">
        <v>407</v>
      </c>
      <c r="G54" s="552"/>
      <c r="H54" s="552"/>
      <c r="I54" s="553"/>
      <c r="J54" s="579"/>
      <c r="K54" s="579"/>
      <c r="L54" s="551" t="s">
        <v>407</v>
      </c>
      <c r="M54" s="551" t="s">
        <v>407</v>
      </c>
      <c r="N54" s="551" t="s">
        <v>407</v>
      </c>
      <c r="O54" s="581"/>
      <c r="P54" s="581"/>
      <c r="Q54" s="581"/>
      <c r="R54" s="553"/>
    </row>
    <row r="55" spans="2:19" x14ac:dyDescent="0.2">
      <c r="B55" s="550">
        <v>44687</v>
      </c>
      <c r="C55" s="187">
        <f t="shared" si="17"/>
        <v>5</v>
      </c>
      <c r="D55" s="551" t="s">
        <v>407</v>
      </c>
      <c r="E55" s="552"/>
      <c r="F55" s="551" t="s">
        <v>407</v>
      </c>
      <c r="G55" s="552"/>
      <c r="H55" s="552"/>
      <c r="I55" s="553"/>
      <c r="J55" s="579"/>
      <c r="K55" s="579"/>
      <c r="L55" s="551" t="s">
        <v>407</v>
      </c>
      <c r="M55" s="551" t="s">
        <v>407</v>
      </c>
      <c r="N55" s="551" t="s">
        <v>407</v>
      </c>
      <c r="O55" s="581"/>
      <c r="P55" s="581"/>
      <c r="Q55" s="581"/>
      <c r="R55" s="553"/>
    </row>
    <row r="56" spans="2:19" x14ac:dyDescent="0.2">
      <c r="B56" s="582">
        <v>44688</v>
      </c>
      <c r="C56" s="187">
        <f t="shared" si="17"/>
        <v>5</v>
      </c>
      <c r="D56" s="583" t="s">
        <v>407</v>
      </c>
      <c r="E56" s="584"/>
      <c r="F56" s="583" t="s">
        <v>407</v>
      </c>
      <c r="G56" s="584"/>
      <c r="H56" s="584"/>
      <c r="I56" s="585"/>
      <c r="J56" s="586"/>
      <c r="K56" s="586"/>
      <c r="L56" s="583" t="s">
        <v>596</v>
      </c>
      <c r="M56" s="583" t="s">
        <v>407</v>
      </c>
      <c r="N56" s="583" t="s">
        <v>407</v>
      </c>
      <c r="O56" s="587" t="s">
        <v>407</v>
      </c>
      <c r="P56" s="587"/>
      <c r="Q56" s="587"/>
      <c r="R56" s="588"/>
    </row>
    <row r="57" spans="2:19" x14ac:dyDescent="0.2">
      <c r="B57" s="589" t="s">
        <v>610</v>
      </c>
      <c r="C57" s="187"/>
      <c r="D57" s="554">
        <f t="shared" ref="D57:R57" si="18">IF(COUNTIF(D51:D55,$B$4)+COUNTIF(D32:D33,$B$4)&gt;0,COUNTIF(D51:D55,$B$4)+COUNTIF(D32:D33,$B$4),"")</f>
        <v>6</v>
      </c>
      <c r="E57" s="554" t="str">
        <f t="shared" si="18"/>
        <v/>
      </c>
      <c r="F57" s="554">
        <f t="shared" si="18"/>
        <v>6</v>
      </c>
      <c r="G57" s="554" t="str">
        <f t="shared" si="18"/>
        <v/>
      </c>
      <c r="H57" s="554" t="str">
        <f t="shared" si="18"/>
        <v/>
      </c>
      <c r="I57" s="554" t="str">
        <f t="shared" si="18"/>
        <v/>
      </c>
      <c r="J57" s="554" t="str">
        <f t="shared" si="18"/>
        <v/>
      </c>
      <c r="K57" s="554" t="str">
        <f t="shared" si="18"/>
        <v/>
      </c>
      <c r="L57" s="554">
        <f t="shared" si="18"/>
        <v>6</v>
      </c>
      <c r="M57" s="554">
        <f t="shared" si="18"/>
        <v>6</v>
      </c>
      <c r="N57" s="554">
        <f t="shared" si="18"/>
        <v>3</v>
      </c>
      <c r="O57" s="554" t="str">
        <f t="shared" si="18"/>
        <v/>
      </c>
      <c r="P57" s="554" t="str">
        <f t="shared" si="18"/>
        <v/>
      </c>
      <c r="Q57" s="554" t="str">
        <f t="shared" si="18"/>
        <v/>
      </c>
      <c r="R57" s="555" t="str">
        <f t="shared" si="18"/>
        <v/>
      </c>
    </row>
    <row r="58" spans="2:19" x14ac:dyDescent="0.2">
      <c r="B58" s="590" t="s">
        <v>611</v>
      </c>
      <c r="C58" s="556">
        <f ca="1">IF(B56&lt;=TODAY(),SUM(D58:R58),"")</f>
        <v>3150</v>
      </c>
      <c r="D58" s="557">
        <f t="shared" ref="D58:R58" si="19">IF(COUNTIF(D51:D55,$B$4)+COUNTIF(D32:D33,$B$4)&gt;0,(COUNTIF(D51:D55,$B$4)+COUNTIF(D32:D33,$B$4))*D$5,"")</f>
        <v>810</v>
      </c>
      <c r="E58" s="557" t="str">
        <f t="shared" si="19"/>
        <v/>
      </c>
      <c r="F58" s="557">
        <f t="shared" si="19"/>
        <v>990</v>
      </c>
      <c r="G58" s="557" t="str">
        <f t="shared" si="19"/>
        <v/>
      </c>
      <c r="H58" s="557" t="str">
        <f t="shared" si="19"/>
        <v/>
      </c>
      <c r="I58" s="557" t="str">
        <f t="shared" si="19"/>
        <v/>
      </c>
      <c r="J58" s="557" t="str">
        <f t="shared" si="19"/>
        <v/>
      </c>
      <c r="K58" s="557" t="str">
        <f t="shared" si="19"/>
        <v/>
      </c>
      <c r="L58" s="557">
        <f t="shared" si="19"/>
        <v>540</v>
      </c>
      <c r="M58" s="557">
        <f t="shared" si="19"/>
        <v>540</v>
      </c>
      <c r="N58" s="557">
        <f t="shared" si="19"/>
        <v>270</v>
      </c>
      <c r="O58" s="557" t="str">
        <f t="shared" si="19"/>
        <v/>
      </c>
      <c r="P58" s="557" t="str">
        <f t="shared" si="19"/>
        <v/>
      </c>
      <c r="Q58" s="557" t="str">
        <f t="shared" si="19"/>
        <v/>
      </c>
      <c r="R58" s="558" t="str">
        <f t="shared" si="19"/>
        <v/>
      </c>
    </row>
    <row r="59" spans="2:19" x14ac:dyDescent="0.2">
      <c r="B59" s="591"/>
      <c r="C59" s="638">
        <f ca="1">IF(C58&lt;&gt;"",SUM(D59:R59)-C58,"")</f>
        <v>0</v>
      </c>
      <c r="D59" s="560">
        <v>810</v>
      </c>
      <c r="E59" s="560"/>
      <c r="F59" s="560">
        <v>990</v>
      </c>
      <c r="G59" s="560"/>
      <c r="H59" s="560"/>
      <c r="I59" s="560"/>
      <c r="J59" s="560"/>
      <c r="K59" s="560"/>
      <c r="L59" s="560">
        <v>540</v>
      </c>
      <c r="M59" s="560">
        <v>540</v>
      </c>
      <c r="N59" s="560">
        <v>270</v>
      </c>
      <c r="O59" s="560"/>
      <c r="P59" s="560"/>
      <c r="Q59" s="560"/>
      <c r="R59" s="560"/>
    </row>
    <row r="60" spans="2:19" x14ac:dyDescent="0.2">
      <c r="B60" s="576">
        <v>44689</v>
      </c>
      <c r="C60" s="562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4"/>
      <c r="S60" s="341"/>
    </row>
    <row r="61" spans="2:19" x14ac:dyDescent="0.2">
      <c r="B61" s="565">
        <v>44690</v>
      </c>
      <c r="C61" s="187">
        <f t="shared" ref="C61:C66" si="20">IF(COUNTIF(D61:R61,$B$4)&gt;0,COUNTIF(D61:R61,$B$4),"")</f>
        <v>8</v>
      </c>
      <c r="D61" s="567" t="s">
        <v>407</v>
      </c>
      <c r="E61" s="568"/>
      <c r="F61" s="568" t="s">
        <v>407</v>
      </c>
      <c r="G61" s="568" t="s">
        <v>407</v>
      </c>
      <c r="H61" s="568" t="s">
        <v>407</v>
      </c>
      <c r="I61" s="569"/>
      <c r="J61" s="577"/>
      <c r="K61" s="577"/>
      <c r="L61" s="568" t="s">
        <v>407</v>
      </c>
      <c r="M61" s="568" t="s">
        <v>407</v>
      </c>
      <c r="N61" s="568" t="s">
        <v>407</v>
      </c>
      <c r="O61" s="578" t="s">
        <v>407</v>
      </c>
      <c r="P61" s="578"/>
      <c r="Q61" s="578"/>
      <c r="R61" s="592"/>
    </row>
    <row r="62" spans="2:19" x14ac:dyDescent="0.2">
      <c r="B62" s="550">
        <v>44691</v>
      </c>
      <c r="C62" s="187">
        <f t="shared" si="20"/>
        <v>9</v>
      </c>
      <c r="D62" s="552" t="s">
        <v>407</v>
      </c>
      <c r="E62" s="552"/>
      <c r="F62" s="552" t="s">
        <v>407</v>
      </c>
      <c r="G62" s="552" t="s">
        <v>407</v>
      </c>
      <c r="H62" s="552" t="s">
        <v>407</v>
      </c>
      <c r="I62" s="553"/>
      <c r="J62" s="579"/>
      <c r="K62" s="579"/>
      <c r="L62" s="552" t="s">
        <v>407</v>
      </c>
      <c r="M62" s="552" t="s">
        <v>407</v>
      </c>
      <c r="N62" s="552" t="s">
        <v>407</v>
      </c>
      <c r="O62" s="580" t="s">
        <v>407</v>
      </c>
      <c r="P62" s="580" t="s">
        <v>407</v>
      </c>
      <c r="Q62" s="580"/>
      <c r="R62" s="553"/>
    </row>
    <row r="63" spans="2:19" x14ac:dyDescent="0.2">
      <c r="B63" s="550">
        <v>44692</v>
      </c>
      <c r="C63" s="187">
        <f t="shared" si="20"/>
        <v>9</v>
      </c>
      <c r="D63" s="552" t="s">
        <v>407</v>
      </c>
      <c r="E63" s="552"/>
      <c r="F63" s="552" t="s">
        <v>407</v>
      </c>
      <c r="G63" s="552" t="s">
        <v>407</v>
      </c>
      <c r="H63" s="552" t="s">
        <v>407</v>
      </c>
      <c r="I63" s="553"/>
      <c r="J63" s="579"/>
      <c r="K63" s="579"/>
      <c r="L63" s="552" t="s">
        <v>407</v>
      </c>
      <c r="M63" s="552" t="s">
        <v>407</v>
      </c>
      <c r="N63" s="552" t="s">
        <v>407</v>
      </c>
      <c r="O63" s="580" t="s">
        <v>407</v>
      </c>
      <c r="P63" s="580" t="s">
        <v>407</v>
      </c>
      <c r="Q63" s="580"/>
      <c r="R63" s="553"/>
    </row>
    <row r="64" spans="2:19" x14ac:dyDescent="0.2">
      <c r="B64" s="550">
        <v>44693</v>
      </c>
      <c r="C64" s="187">
        <f t="shared" si="20"/>
        <v>8</v>
      </c>
      <c r="D64" s="552" t="s">
        <v>407</v>
      </c>
      <c r="E64" s="552"/>
      <c r="F64" s="552" t="s">
        <v>407</v>
      </c>
      <c r="G64" s="552" t="s">
        <v>407</v>
      </c>
      <c r="H64" s="552" t="s">
        <v>601</v>
      </c>
      <c r="I64" s="553"/>
      <c r="J64" s="579"/>
      <c r="K64" s="579"/>
      <c r="L64" s="552" t="s">
        <v>407</v>
      </c>
      <c r="M64" s="552" t="s">
        <v>407</v>
      </c>
      <c r="N64" s="552" t="s">
        <v>407</v>
      </c>
      <c r="O64" s="580" t="s">
        <v>407</v>
      </c>
      <c r="P64" s="580" t="s">
        <v>407</v>
      </c>
      <c r="Q64" s="580"/>
      <c r="R64" s="553"/>
    </row>
    <row r="65" spans="2:19" x14ac:dyDescent="0.2">
      <c r="B65" s="550">
        <v>44694</v>
      </c>
      <c r="C65" s="187">
        <f t="shared" si="20"/>
        <v>8</v>
      </c>
      <c r="D65" s="552" t="s">
        <v>407</v>
      </c>
      <c r="E65" s="552"/>
      <c r="F65" s="552" t="s">
        <v>407</v>
      </c>
      <c r="G65" s="552" t="s">
        <v>407</v>
      </c>
      <c r="H65" s="552"/>
      <c r="I65" s="553"/>
      <c r="J65" s="579"/>
      <c r="K65" s="579"/>
      <c r="L65" s="551" t="s">
        <v>407</v>
      </c>
      <c r="M65" s="551" t="s">
        <v>407</v>
      </c>
      <c r="N65" s="551" t="s">
        <v>407</v>
      </c>
      <c r="O65" s="581" t="s">
        <v>407</v>
      </c>
      <c r="P65" s="580" t="s">
        <v>407</v>
      </c>
      <c r="Q65" s="580"/>
      <c r="R65" s="553"/>
    </row>
    <row r="66" spans="2:19" x14ac:dyDescent="0.2">
      <c r="B66" s="582">
        <v>44695</v>
      </c>
      <c r="C66" s="187">
        <f t="shared" si="20"/>
        <v>5</v>
      </c>
      <c r="D66" s="583" t="s">
        <v>407</v>
      </c>
      <c r="E66" s="584"/>
      <c r="F66" s="583" t="s">
        <v>407</v>
      </c>
      <c r="G66" s="583" t="s">
        <v>604</v>
      </c>
      <c r="H66" s="584"/>
      <c r="I66" s="585"/>
      <c r="J66" s="586"/>
      <c r="K66" s="586"/>
      <c r="L66" s="583" t="s">
        <v>407</v>
      </c>
      <c r="M66" s="583" t="s">
        <v>407</v>
      </c>
      <c r="N66" s="584" t="s">
        <v>596</v>
      </c>
      <c r="O66" s="587" t="s">
        <v>407</v>
      </c>
      <c r="P66" s="593" t="s">
        <v>605</v>
      </c>
      <c r="Q66" s="593"/>
      <c r="R66" s="585"/>
    </row>
    <row r="67" spans="2:19" x14ac:dyDescent="0.2">
      <c r="B67" s="545" t="s">
        <v>610</v>
      </c>
      <c r="C67" s="187"/>
      <c r="D67" s="554">
        <f t="shared" ref="D67:K67" si="21">IF(COUNTIF(D61:D65,$B$4)+COUNTIF(D56:D57,$B$4)&gt;0,COUNTIF(D61:D65,$B$4)+COUNTIF(D56:D57,$B$4),"")</f>
        <v>6</v>
      </c>
      <c r="E67" s="554" t="str">
        <f t="shared" si="21"/>
        <v/>
      </c>
      <c r="F67" s="554">
        <f t="shared" si="21"/>
        <v>6</v>
      </c>
      <c r="G67" s="554">
        <f t="shared" si="21"/>
        <v>5</v>
      </c>
      <c r="H67" s="554">
        <f t="shared" si="21"/>
        <v>3</v>
      </c>
      <c r="I67" s="554" t="str">
        <f t="shared" si="21"/>
        <v/>
      </c>
      <c r="J67" s="554" t="str">
        <f t="shared" si="21"/>
        <v/>
      </c>
      <c r="K67" s="554" t="str">
        <f t="shared" si="21"/>
        <v/>
      </c>
      <c r="L67" s="554">
        <f>IF(COUNTIF(L61:L65,$B$4)+COUNTIF(L56:L57,$B$4)&gt;0,COUNTIF(L61:L65,$B$4)+COUNTIF(L56:L57,$B$4),"")</f>
        <v>5</v>
      </c>
      <c r="M67" s="554">
        <f t="shared" ref="M67:R67" si="22">IF(COUNTIF(M61:M65,$B$4)+COUNTIF(M56:M57,$B$4)&gt;0,COUNTIF(M61:M65,$B$4)+COUNTIF(M56:M57,$B$4),"")</f>
        <v>6</v>
      </c>
      <c r="N67" s="554">
        <f t="shared" si="22"/>
        <v>6</v>
      </c>
      <c r="O67" s="554">
        <f t="shared" si="22"/>
        <v>6</v>
      </c>
      <c r="P67" s="554">
        <f t="shared" si="22"/>
        <v>4</v>
      </c>
      <c r="Q67" s="554" t="str">
        <f t="shared" si="22"/>
        <v/>
      </c>
      <c r="R67" s="555" t="str">
        <f t="shared" si="22"/>
        <v/>
      </c>
    </row>
    <row r="68" spans="2:19" x14ac:dyDescent="0.2">
      <c r="B68" s="590" t="s">
        <v>611</v>
      </c>
      <c r="C68" s="556">
        <f ca="1">IF(B66&lt;=TODAY(),SUM(D68:R68),"")</f>
        <v>5550</v>
      </c>
      <c r="D68" s="557">
        <f>IF(COUNTIF(D61:D65,$B$4)+COUNTIF(D56:D57,$B$4)&gt;0,(COUNTIF(D61:D65,$B$4)+COUNTIF(D56:D57,$B$4))*D$5,"")</f>
        <v>810</v>
      </c>
      <c r="E68" s="557" t="str">
        <f t="shared" ref="E68:R68" si="23">IF(COUNTIF(E61:E65,$B$4)+COUNTIF(E56:E57,$B$4)&gt;0,(COUNTIF(E61:E65,$B$4)+COUNTIF(E56:E57,$B$4))*E$5,"")</f>
        <v/>
      </c>
      <c r="F68" s="557">
        <f t="shared" si="23"/>
        <v>990</v>
      </c>
      <c r="G68" s="557">
        <f t="shared" si="23"/>
        <v>825</v>
      </c>
      <c r="H68" s="557">
        <f t="shared" si="23"/>
        <v>495</v>
      </c>
      <c r="I68" s="557" t="str">
        <f t="shared" si="23"/>
        <v/>
      </c>
      <c r="J68" s="557" t="str">
        <f t="shared" si="23"/>
        <v/>
      </c>
      <c r="K68" s="557" t="str">
        <f t="shared" si="23"/>
        <v/>
      </c>
      <c r="L68" s="557">
        <f t="shared" si="23"/>
        <v>450</v>
      </c>
      <c r="M68" s="557">
        <f t="shared" si="23"/>
        <v>540</v>
      </c>
      <c r="N68" s="557">
        <f t="shared" si="23"/>
        <v>540</v>
      </c>
      <c r="O68" s="557">
        <f t="shared" si="23"/>
        <v>540</v>
      </c>
      <c r="P68" s="557">
        <f t="shared" si="23"/>
        <v>360</v>
      </c>
      <c r="Q68" s="557" t="str">
        <f t="shared" si="23"/>
        <v/>
      </c>
      <c r="R68" s="558" t="str">
        <f t="shared" si="23"/>
        <v/>
      </c>
    </row>
    <row r="69" spans="2:19" x14ac:dyDescent="0.2">
      <c r="B69" s="591"/>
      <c r="C69" s="638">
        <f ca="1">IF(C68&lt;&gt;"",SUM(D69:R69)-C68,"")</f>
        <v>0</v>
      </c>
      <c r="D69" s="560">
        <v>810</v>
      </c>
      <c r="E69" s="560"/>
      <c r="F69" s="560">
        <v>990</v>
      </c>
      <c r="G69" s="560">
        <v>825</v>
      </c>
      <c r="H69" s="560">
        <v>495</v>
      </c>
      <c r="I69" s="560"/>
      <c r="J69" s="560"/>
      <c r="K69" s="560"/>
      <c r="L69" s="560">
        <v>450</v>
      </c>
      <c r="M69" s="560">
        <v>540</v>
      </c>
      <c r="N69" s="560">
        <v>540</v>
      </c>
      <c r="O69" s="560">
        <v>540</v>
      </c>
      <c r="P69" s="560">
        <v>360</v>
      </c>
      <c r="Q69" s="560"/>
      <c r="R69" s="560"/>
    </row>
    <row r="70" spans="2:19" x14ac:dyDescent="0.2">
      <c r="B70" s="576">
        <v>44696</v>
      </c>
      <c r="C70" s="562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63"/>
      <c r="P70" s="563"/>
      <c r="Q70" s="563"/>
      <c r="R70" s="564"/>
      <c r="S70" s="341"/>
    </row>
    <row r="71" spans="2:19" x14ac:dyDescent="0.2">
      <c r="B71" s="565">
        <v>44697</v>
      </c>
      <c r="C71" s="187">
        <f t="shared" ref="C71:C76" si="24">IF(COUNTIF(D71:R71,$B$4)&gt;0,COUNTIF(D71:R71,$B$4),"")</f>
        <v>7</v>
      </c>
      <c r="D71" s="567" t="s">
        <v>407</v>
      </c>
      <c r="E71" s="568"/>
      <c r="F71" s="567" t="s">
        <v>407</v>
      </c>
      <c r="G71" s="567" t="s">
        <v>407</v>
      </c>
      <c r="H71" s="568"/>
      <c r="I71" s="569"/>
      <c r="J71" s="577"/>
      <c r="K71" s="577"/>
      <c r="L71" s="567" t="s">
        <v>407</v>
      </c>
      <c r="M71" s="567" t="s">
        <v>407</v>
      </c>
      <c r="N71" s="567" t="s">
        <v>407</v>
      </c>
      <c r="O71" s="594" t="s">
        <v>407</v>
      </c>
      <c r="P71" s="578"/>
      <c r="Q71" s="578"/>
      <c r="R71" s="569"/>
    </row>
    <row r="72" spans="2:19" x14ac:dyDescent="0.2">
      <c r="B72" s="550">
        <v>44698</v>
      </c>
      <c r="C72" s="187">
        <f t="shared" si="24"/>
        <v>8</v>
      </c>
      <c r="D72" s="552" t="s">
        <v>407</v>
      </c>
      <c r="E72" s="552"/>
      <c r="F72" s="552" t="s">
        <v>407</v>
      </c>
      <c r="G72" s="552" t="s">
        <v>407</v>
      </c>
      <c r="H72" s="552"/>
      <c r="I72" s="553" t="s">
        <v>407</v>
      </c>
      <c r="J72" s="579"/>
      <c r="K72" s="579"/>
      <c r="L72" s="552" t="s">
        <v>407</v>
      </c>
      <c r="M72" s="552" t="s">
        <v>407</v>
      </c>
      <c r="N72" s="552" t="s">
        <v>407</v>
      </c>
      <c r="O72" s="580" t="s">
        <v>407</v>
      </c>
      <c r="P72" s="580"/>
      <c r="Q72" s="580"/>
      <c r="R72" s="553"/>
    </row>
    <row r="73" spans="2:19" x14ac:dyDescent="0.2">
      <c r="B73" s="550">
        <v>44699</v>
      </c>
      <c r="C73" s="187">
        <f t="shared" si="24"/>
        <v>9</v>
      </c>
      <c r="D73" s="552" t="s">
        <v>407</v>
      </c>
      <c r="E73" s="552" t="s">
        <v>407</v>
      </c>
      <c r="F73" s="552" t="s">
        <v>407</v>
      </c>
      <c r="G73" s="552" t="s">
        <v>407</v>
      </c>
      <c r="H73" s="552"/>
      <c r="I73" s="553" t="s">
        <v>407</v>
      </c>
      <c r="J73" s="579"/>
      <c r="K73" s="579"/>
      <c r="L73" s="552" t="s">
        <v>407</v>
      </c>
      <c r="M73" s="552" t="s">
        <v>407</v>
      </c>
      <c r="N73" s="552" t="s">
        <v>407</v>
      </c>
      <c r="O73" s="580" t="s">
        <v>407</v>
      </c>
      <c r="P73" s="580"/>
      <c r="Q73" s="580"/>
      <c r="R73" s="553"/>
    </row>
    <row r="74" spans="2:19" x14ac:dyDescent="0.2">
      <c r="B74" s="550">
        <v>44700</v>
      </c>
      <c r="C74" s="187">
        <f t="shared" si="24"/>
        <v>7</v>
      </c>
      <c r="D74" s="552" t="s">
        <v>407</v>
      </c>
      <c r="E74" s="552" t="s">
        <v>407</v>
      </c>
      <c r="F74" s="552" t="s">
        <v>407</v>
      </c>
      <c r="G74" s="552" t="s">
        <v>604</v>
      </c>
      <c r="H74" s="552"/>
      <c r="I74" s="553" t="s">
        <v>604</v>
      </c>
      <c r="J74" s="579"/>
      <c r="K74" s="579"/>
      <c r="L74" s="552" t="s">
        <v>407</v>
      </c>
      <c r="M74" s="552" t="s">
        <v>407</v>
      </c>
      <c r="N74" s="552" t="s">
        <v>407</v>
      </c>
      <c r="O74" s="580" t="s">
        <v>407</v>
      </c>
      <c r="P74" s="580"/>
      <c r="Q74" s="580"/>
      <c r="R74" s="553"/>
    </row>
    <row r="75" spans="2:19" x14ac:dyDescent="0.2">
      <c r="B75" s="550">
        <v>44701</v>
      </c>
      <c r="C75" s="187">
        <f t="shared" si="24"/>
        <v>7</v>
      </c>
      <c r="D75" s="551" t="s">
        <v>407</v>
      </c>
      <c r="E75" s="551" t="s">
        <v>407</v>
      </c>
      <c r="F75" s="551" t="s">
        <v>407</v>
      </c>
      <c r="G75" s="551" t="s">
        <v>407</v>
      </c>
      <c r="H75" s="552"/>
      <c r="I75" s="553"/>
      <c r="J75" s="579"/>
      <c r="K75" s="579"/>
      <c r="L75" s="551" t="s">
        <v>407</v>
      </c>
      <c r="M75" s="551" t="s">
        <v>407</v>
      </c>
      <c r="N75" s="551" t="s">
        <v>407</v>
      </c>
      <c r="O75" s="580" t="s">
        <v>596</v>
      </c>
      <c r="P75" s="580"/>
      <c r="Q75" s="580"/>
      <c r="R75" s="553"/>
    </row>
    <row r="76" spans="2:19" x14ac:dyDescent="0.2">
      <c r="B76" s="582">
        <v>44702</v>
      </c>
      <c r="C76" s="187">
        <f t="shared" si="24"/>
        <v>6</v>
      </c>
      <c r="D76" s="584" t="s">
        <v>407</v>
      </c>
      <c r="E76" s="584" t="s">
        <v>407</v>
      </c>
      <c r="F76" s="584" t="s">
        <v>407</v>
      </c>
      <c r="G76" s="584"/>
      <c r="H76" s="584"/>
      <c r="I76" s="585"/>
      <c r="J76" s="586"/>
      <c r="K76" s="586"/>
      <c r="L76" s="584" t="s">
        <v>596</v>
      </c>
      <c r="M76" s="584" t="s">
        <v>407</v>
      </c>
      <c r="N76" s="584" t="s">
        <v>407</v>
      </c>
      <c r="O76" s="593" t="s">
        <v>407</v>
      </c>
      <c r="P76" s="593"/>
      <c r="Q76" s="593"/>
      <c r="R76" s="585"/>
    </row>
    <row r="77" spans="2:19" x14ac:dyDescent="0.2">
      <c r="B77" s="545" t="s">
        <v>610</v>
      </c>
      <c r="C77" s="187"/>
      <c r="D77" s="554">
        <f t="shared" ref="D77:R77" si="25">IF(COUNTIF(D71:D75,$B$4)+COUNTIF(D66:D67,$B$4)&gt;0,COUNTIF(D71:D75,$B$4)+COUNTIF(D66:D67,$B$4),"")</f>
        <v>6</v>
      </c>
      <c r="E77" s="554">
        <f t="shared" si="25"/>
        <v>3</v>
      </c>
      <c r="F77" s="554">
        <f t="shared" si="25"/>
        <v>6</v>
      </c>
      <c r="G77" s="554">
        <f t="shared" si="25"/>
        <v>4</v>
      </c>
      <c r="H77" s="554" t="str">
        <f t="shared" si="25"/>
        <v/>
      </c>
      <c r="I77" s="554">
        <f t="shared" si="25"/>
        <v>2</v>
      </c>
      <c r="J77" s="554" t="str">
        <f t="shared" si="25"/>
        <v/>
      </c>
      <c r="K77" s="554" t="str">
        <f t="shared" si="25"/>
        <v/>
      </c>
      <c r="L77" s="554">
        <f t="shared" si="25"/>
        <v>6</v>
      </c>
      <c r="M77" s="554">
        <f t="shared" si="25"/>
        <v>6</v>
      </c>
      <c r="N77" s="554">
        <f t="shared" si="25"/>
        <v>5</v>
      </c>
      <c r="O77" s="554">
        <f t="shared" si="25"/>
        <v>5</v>
      </c>
      <c r="P77" s="554" t="str">
        <f t="shared" si="25"/>
        <v/>
      </c>
      <c r="Q77" s="554" t="str">
        <f t="shared" si="25"/>
        <v/>
      </c>
      <c r="R77" s="555" t="str">
        <f t="shared" si="25"/>
        <v/>
      </c>
    </row>
    <row r="78" spans="2:19" x14ac:dyDescent="0.2">
      <c r="B78" s="590" t="s">
        <v>611</v>
      </c>
      <c r="C78" s="556">
        <f ca="1">IF(B76&lt;=TODAY(),SUM(D78:R78),"")</f>
        <v>5265</v>
      </c>
      <c r="D78" s="595">
        <f>IF(COUNTIF(D71:D75,$B$4)+COUNTIF(D66:D67,$B$4)&gt;0,(COUNTIF(D71:D75,$B$4)+COUNTIF(D66:D67,$B$4))*D$5,"")</f>
        <v>810</v>
      </c>
      <c r="E78" s="596">
        <f t="shared" ref="E78:R78" si="26">IF(COUNTIF(E71:E75,$B$4)+COUNTIF(E66:E67,$B$4)&gt;0,(COUNTIF(E71:E75,$B$4)+COUNTIF(E66:E67,$B$4))*E$5,"")</f>
        <v>495</v>
      </c>
      <c r="F78" s="557">
        <f t="shared" si="26"/>
        <v>990</v>
      </c>
      <c r="G78" s="557">
        <f t="shared" si="26"/>
        <v>660</v>
      </c>
      <c r="H78" s="557" t="str">
        <f t="shared" si="26"/>
        <v/>
      </c>
      <c r="I78" s="557">
        <f t="shared" si="26"/>
        <v>330</v>
      </c>
      <c r="J78" s="557" t="str">
        <f t="shared" si="26"/>
        <v/>
      </c>
      <c r="K78" s="557" t="str">
        <f t="shared" si="26"/>
        <v/>
      </c>
      <c r="L78" s="557">
        <f t="shared" si="26"/>
        <v>540</v>
      </c>
      <c r="M78" s="557">
        <f t="shared" si="26"/>
        <v>540</v>
      </c>
      <c r="N78" s="557">
        <f t="shared" si="26"/>
        <v>450</v>
      </c>
      <c r="O78" s="557">
        <f t="shared" si="26"/>
        <v>450</v>
      </c>
      <c r="P78" s="557" t="str">
        <f t="shared" si="26"/>
        <v/>
      </c>
      <c r="Q78" s="557" t="str">
        <f t="shared" si="26"/>
        <v/>
      </c>
      <c r="R78" s="558" t="str">
        <f t="shared" si="26"/>
        <v/>
      </c>
    </row>
    <row r="79" spans="2:19" x14ac:dyDescent="0.2">
      <c r="B79" s="591"/>
      <c r="C79" s="638">
        <f ca="1">IF(C78&lt;&gt;"",SUM(D79:R79)-C78,"")</f>
        <v>0</v>
      </c>
      <c r="D79" s="560">
        <v>810</v>
      </c>
      <c r="E79" s="560">
        <v>495</v>
      </c>
      <c r="F79" s="560">
        <v>990</v>
      </c>
      <c r="G79" s="560">
        <v>660</v>
      </c>
      <c r="H79" s="560"/>
      <c r="I79" s="560">
        <v>330</v>
      </c>
      <c r="J79" s="560"/>
      <c r="K79" s="560"/>
      <c r="L79" s="560">
        <v>540</v>
      </c>
      <c r="M79" s="560">
        <v>540</v>
      </c>
      <c r="N79" s="560">
        <v>450</v>
      </c>
      <c r="O79" s="560">
        <v>450</v>
      </c>
      <c r="P79" s="560"/>
      <c r="Q79" s="560"/>
      <c r="R79" s="560"/>
    </row>
    <row r="80" spans="2:19" x14ac:dyDescent="0.2">
      <c r="B80" s="561">
        <v>44703</v>
      </c>
      <c r="C80" s="562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4"/>
      <c r="S80" s="341"/>
    </row>
    <row r="81" spans="2:19" x14ac:dyDescent="0.2">
      <c r="B81" s="565">
        <v>44704</v>
      </c>
      <c r="C81" s="187">
        <f t="shared" ref="C81:C92" si="27">IF(COUNTIF(D81:R81,$B$4)&gt;0,COUNTIF(D81:R81,$B$4),"")</f>
        <v>9</v>
      </c>
      <c r="D81" s="568" t="s">
        <v>407</v>
      </c>
      <c r="E81" s="568" t="s">
        <v>407</v>
      </c>
      <c r="F81" s="568" t="s">
        <v>407</v>
      </c>
      <c r="G81" s="568" t="s">
        <v>407</v>
      </c>
      <c r="H81" s="568"/>
      <c r="I81" s="569" t="s">
        <v>407</v>
      </c>
      <c r="J81" s="577"/>
      <c r="K81" s="577"/>
      <c r="L81" s="568" t="s">
        <v>407</v>
      </c>
      <c r="M81" s="568" t="s">
        <v>407</v>
      </c>
      <c r="N81" s="568" t="s">
        <v>407</v>
      </c>
      <c r="O81" s="578" t="s">
        <v>407</v>
      </c>
      <c r="P81" s="578"/>
      <c r="Q81" s="578"/>
      <c r="R81" s="569"/>
    </row>
    <row r="82" spans="2:19" x14ac:dyDescent="0.2">
      <c r="B82" s="550">
        <v>44705</v>
      </c>
      <c r="C82" s="187">
        <f t="shared" si="27"/>
        <v>9</v>
      </c>
      <c r="D82" s="552" t="s">
        <v>407</v>
      </c>
      <c r="E82" s="552" t="s">
        <v>407</v>
      </c>
      <c r="F82" s="552" t="s">
        <v>407</v>
      </c>
      <c r="G82" s="552" t="s">
        <v>407</v>
      </c>
      <c r="H82" s="552"/>
      <c r="I82" s="553" t="s">
        <v>407</v>
      </c>
      <c r="J82" s="579"/>
      <c r="K82" s="579"/>
      <c r="L82" s="552" t="s">
        <v>407</v>
      </c>
      <c r="M82" s="552" t="s">
        <v>407</v>
      </c>
      <c r="N82" s="552" t="s">
        <v>407</v>
      </c>
      <c r="O82" s="580" t="s">
        <v>407</v>
      </c>
      <c r="P82" s="580"/>
      <c r="Q82" s="580"/>
      <c r="R82" s="553"/>
    </row>
    <row r="83" spans="2:19" x14ac:dyDescent="0.2">
      <c r="B83" s="550">
        <v>44706</v>
      </c>
      <c r="C83" s="187">
        <f t="shared" si="27"/>
        <v>8</v>
      </c>
      <c r="D83" s="552" t="s">
        <v>407</v>
      </c>
      <c r="E83" s="552" t="s">
        <v>407</v>
      </c>
      <c r="F83" s="552" t="s">
        <v>407</v>
      </c>
      <c r="G83" s="552" t="s">
        <v>407</v>
      </c>
      <c r="H83" s="552"/>
      <c r="I83" s="553"/>
      <c r="J83" s="579"/>
      <c r="K83" s="579"/>
      <c r="L83" s="552" t="s">
        <v>407</v>
      </c>
      <c r="M83" s="552" t="s">
        <v>407</v>
      </c>
      <c r="N83" s="552" t="s">
        <v>407</v>
      </c>
      <c r="O83" s="580" t="s">
        <v>407</v>
      </c>
      <c r="P83" s="580"/>
      <c r="Q83" s="580"/>
      <c r="R83" s="553"/>
    </row>
    <row r="84" spans="2:19" x14ac:dyDescent="0.2">
      <c r="B84" s="550">
        <v>44707</v>
      </c>
      <c r="C84" s="187">
        <f t="shared" si="27"/>
        <v>8</v>
      </c>
      <c r="D84" s="552" t="s">
        <v>407</v>
      </c>
      <c r="E84" s="552" t="s">
        <v>407</v>
      </c>
      <c r="F84" s="552" t="s">
        <v>407</v>
      </c>
      <c r="G84" s="552" t="s">
        <v>407</v>
      </c>
      <c r="H84" s="552"/>
      <c r="I84" s="553"/>
      <c r="J84" s="579"/>
      <c r="K84" s="579"/>
      <c r="L84" s="552" t="s">
        <v>407</v>
      </c>
      <c r="M84" s="552" t="s">
        <v>407</v>
      </c>
      <c r="N84" s="552" t="s">
        <v>407</v>
      </c>
      <c r="O84" s="580" t="s">
        <v>407</v>
      </c>
      <c r="P84" s="580"/>
      <c r="Q84" s="580"/>
      <c r="R84" s="553"/>
    </row>
    <row r="85" spans="2:19" x14ac:dyDescent="0.2">
      <c r="B85" s="550">
        <v>44708</v>
      </c>
      <c r="C85" s="187">
        <f t="shared" si="27"/>
        <v>8</v>
      </c>
      <c r="D85" s="551" t="s">
        <v>407</v>
      </c>
      <c r="E85" s="552" t="s">
        <v>407</v>
      </c>
      <c r="F85" s="552" t="s">
        <v>407</v>
      </c>
      <c r="G85" s="552" t="s">
        <v>407</v>
      </c>
      <c r="H85" s="552"/>
      <c r="I85" s="553"/>
      <c r="J85" s="579"/>
      <c r="K85" s="579"/>
      <c r="L85" s="552" t="s">
        <v>407</v>
      </c>
      <c r="M85" s="552" t="s">
        <v>407</v>
      </c>
      <c r="N85" s="552" t="s">
        <v>407</v>
      </c>
      <c r="O85" s="580" t="s">
        <v>407</v>
      </c>
      <c r="P85" s="580"/>
      <c r="Q85" s="580"/>
      <c r="R85" s="553"/>
    </row>
    <row r="86" spans="2:19" x14ac:dyDescent="0.2">
      <c r="B86" s="550">
        <v>44709</v>
      </c>
      <c r="C86" s="187">
        <f t="shared" si="27"/>
        <v>1</v>
      </c>
      <c r="D86" s="583" t="s">
        <v>407</v>
      </c>
      <c r="E86" s="584" t="s">
        <v>628</v>
      </c>
      <c r="F86" s="584"/>
      <c r="G86" s="584" t="s">
        <v>628</v>
      </c>
      <c r="H86" s="584"/>
      <c r="I86" s="585"/>
      <c r="J86" s="586"/>
      <c r="K86" s="586"/>
      <c r="L86" s="584" t="s">
        <v>628</v>
      </c>
      <c r="M86" s="584" t="s">
        <v>628</v>
      </c>
      <c r="N86" s="584" t="s">
        <v>628</v>
      </c>
      <c r="O86" s="593" t="s">
        <v>628</v>
      </c>
      <c r="P86" s="593"/>
      <c r="Q86" s="593"/>
      <c r="R86" s="585"/>
    </row>
    <row r="87" spans="2:19" x14ac:dyDescent="0.2">
      <c r="B87" s="545" t="s">
        <v>610</v>
      </c>
      <c r="C87" s="570"/>
      <c r="D87" s="554">
        <f t="shared" ref="D87:R87" si="28">IF(COUNTIF(D81:D85,$B$4)+COUNTIF(D76:D77,$B$4)&gt;0,COUNTIF(D81:D85,$B$4)+COUNTIF(D76:D77,$B$4),"")</f>
        <v>6</v>
      </c>
      <c r="E87" s="554">
        <f t="shared" si="28"/>
        <v>6</v>
      </c>
      <c r="F87" s="554">
        <f t="shared" si="28"/>
        <v>6</v>
      </c>
      <c r="G87" s="554">
        <f t="shared" si="28"/>
        <v>5</v>
      </c>
      <c r="H87" s="554" t="str">
        <f t="shared" si="28"/>
        <v/>
      </c>
      <c r="I87" s="554">
        <f t="shared" si="28"/>
        <v>2</v>
      </c>
      <c r="J87" s="554" t="str">
        <f t="shared" si="28"/>
        <v/>
      </c>
      <c r="K87" s="554" t="str">
        <f t="shared" si="28"/>
        <v/>
      </c>
      <c r="L87" s="554">
        <f t="shared" si="28"/>
        <v>5</v>
      </c>
      <c r="M87" s="554">
        <f t="shared" si="28"/>
        <v>6</v>
      </c>
      <c r="N87" s="554">
        <f t="shared" si="28"/>
        <v>6</v>
      </c>
      <c r="O87" s="554">
        <f t="shared" si="28"/>
        <v>6</v>
      </c>
      <c r="P87" s="554" t="str">
        <f t="shared" si="28"/>
        <v/>
      </c>
      <c r="Q87" s="554" t="str">
        <f t="shared" si="28"/>
        <v/>
      </c>
      <c r="R87" s="555" t="str">
        <f t="shared" si="28"/>
        <v/>
      </c>
    </row>
    <row r="88" spans="2:19" x14ac:dyDescent="0.2">
      <c r="B88" s="559" t="s">
        <v>611</v>
      </c>
      <c r="C88" s="556">
        <f ca="1">IF(B86&lt;=TODAY(),SUM(D88:R88),"")</f>
        <v>6015</v>
      </c>
      <c r="D88" s="557">
        <f>IF(COUNTIF(D81:D85,$B$4)+COUNTIF(D76:D77,$B$4)&gt;0,(COUNTIF(D81:D85,$B$4)+COUNTIF(D76:D77,$B$4))*D$5,"")</f>
        <v>810</v>
      </c>
      <c r="E88" s="557">
        <f t="shared" ref="E88:R88" si="29">IF(COUNTIF(E81:E85,$B$4)+COUNTIF(E76:E77,$B$4)&gt;0,(COUNTIF(E81:E85,$B$4)+COUNTIF(E76:E77,$B$4))*E$5,"")</f>
        <v>990</v>
      </c>
      <c r="F88" s="557">
        <f t="shared" si="29"/>
        <v>990</v>
      </c>
      <c r="G88" s="557">
        <f t="shared" si="29"/>
        <v>825</v>
      </c>
      <c r="H88" s="557" t="str">
        <f t="shared" si="29"/>
        <v/>
      </c>
      <c r="I88" s="557">
        <f t="shared" si="29"/>
        <v>330</v>
      </c>
      <c r="J88" s="557" t="str">
        <f t="shared" si="29"/>
        <v/>
      </c>
      <c r="K88" s="557" t="str">
        <f t="shared" si="29"/>
        <v/>
      </c>
      <c r="L88" s="557">
        <f t="shared" si="29"/>
        <v>450</v>
      </c>
      <c r="M88" s="557">
        <f t="shared" si="29"/>
        <v>540</v>
      </c>
      <c r="N88" s="557">
        <f t="shared" si="29"/>
        <v>540</v>
      </c>
      <c r="O88" s="557">
        <f t="shared" si="29"/>
        <v>540</v>
      </c>
      <c r="P88" s="557" t="str">
        <f t="shared" si="29"/>
        <v/>
      </c>
      <c r="Q88" s="557" t="str">
        <f t="shared" si="29"/>
        <v/>
      </c>
      <c r="R88" s="558" t="str">
        <f t="shared" si="29"/>
        <v/>
      </c>
    </row>
    <row r="89" spans="2:19" x14ac:dyDescent="0.2">
      <c r="B89" s="559"/>
      <c r="C89" s="638">
        <f ca="1">IF(C88&lt;&gt;"",SUM(D89:R89)-C88,"")</f>
        <v>0</v>
      </c>
      <c r="D89" s="560">
        <v>810</v>
      </c>
      <c r="E89" s="560">
        <v>990</v>
      </c>
      <c r="F89" s="560">
        <v>990</v>
      </c>
      <c r="G89" s="560">
        <v>825</v>
      </c>
      <c r="H89" s="560"/>
      <c r="I89" s="560">
        <v>330</v>
      </c>
      <c r="J89" s="560"/>
      <c r="K89" s="560"/>
      <c r="L89" s="560">
        <v>450</v>
      </c>
      <c r="M89" s="560">
        <v>540</v>
      </c>
      <c r="N89" s="560">
        <v>540</v>
      </c>
      <c r="O89" s="560">
        <v>540</v>
      </c>
      <c r="P89" s="560"/>
      <c r="Q89" s="560"/>
      <c r="R89" s="560"/>
    </row>
    <row r="90" spans="2:19" x14ac:dyDescent="0.2">
      <c r="B90" s="561">
        <v>44710</v>
      </c>
      <c r="C90" s="187">
        <f t="shared" si="27"/>
        <v>1</v>
      </c>
      <c r="D90" s="597" t="s">
        <v>407</v>
      </c>
      <c r="E90" s="597"/>
      <c r="F90" s="597"/>
      <c r="G90" s="597"/>
      <c r="H90" s="597"/>
      <c r="I90" s="597"/>
      <c r="J90" s="597"/>
      <c r="K90" s="597"/>
      <c r="L90" s="597"/>
      <c r="M90" s="597"/>
      <c r="N90" s="597"/>
      <c r="O90" s="597"/>
      <c r="P90" s="597"/>
      <c r="Q90" s="597"/>
      <c r="R90" s="598"/>
      <c r="S90" s="341"/>
    </row>
    <row r="91" spans="2:19" x14ac:dyDescent="0.2">
      <c r="B91" s="565">
        <v>44711</v>
      </c>
      <c r="C91" s="187">
        <f t="shared" si="27"/>
        <v>8</v>
      </c>
      <c r="D91" s="568" t="s">
        <v>407</v>
      </c>
      <c r="E91" s="568" t="s">
        <v>407</v>
      </c>
      <c r="F91" s="567" t="s">
        <v>407</v>
      </c>
      <c r="G91" s="567" t="s">
        <v>407</v>
      </c>
      <c r="H91" s="568"/>
      <c r="I91" s="569"/>
      <c r="J91" s="577"/>
      <c r="K91" s="577"/>
      <c r="L91" s="568" t="s">
        <v>407</v>
      </c>
      <c r="M91" s="568" t="s">
        <v>407</v>
      </c>
      <c r="N91" s="568" t="s">
        <v>407</v>
      </c>
      <c r="O91" s="578" t="s">
        <v>407</v>
      </c>
      <c r="P91" s="578"/>
      <c r="Q91" s="578"/>
      <c r="R91" s="569"/>
    </row>
    <row r="92" spans="2:19" x14ac:dyDescent="0.2">
      <c r="B92" s="550">
        <v>44712</v>
      </c>
      <c r="C92" s="187">
        <f t="shared" si="27"/>
        <v>7</v>
      </c>
      <c r="D92" s="552" t="s">
        <v>407</v>
      </c>
      <c r="E92" s="551" t="s">
        <v>407</v>
      </c>
      <c r="F92" s="551" t="s">
        <v>407</v>
      </c>
      <c r="G92" s="552" t="s">
        <v>601</v>
      </c>
      <c r="H92" s="552"/>
      <c r="I92" s="553"/>
      <c r="J92" s="579"/>
      <c r="K92" s="579"/>
      <c r="L92" s="552" t="s">
        <v>407</v>
      </c>
      <c r="M92" s="552" t="s">
        <v>407</v>
      </c>
      <c r="N92" s="552" t="s">
        <v>407</v>
      </c>
      <c r="O92" s="580" t="s">
        <v>407</v>
      </c>
      <c r="P92" s="580"/>
      <c r="Q92" s="580"/>
      <c r="R92" s="553"/>
    </row>
    <row r="93" spans="2:19" x14ac:dyDescent="0.2">
      <c r="B93" s="602"/>
      <c r="C93" s="570"/>
      <c r="D93" s="554">
        <f>IF(COUNTIF(D91:D92,$B$4)+COUNTIF(D86:D90,$B$4)&gt;0,COUNTIF(D91:D92,$B$4)+COUNTIF(D86:D90,$B$4),"")</f>
        <v>4</v>
      </c>
      <c r="E93" s="554">
        <f t="shared" ref="E93:R93" si="30">IF(COUNTIF(E91:E92,$B$4)+COUNTIF(E86:E90,$B$4)&gt;0,COUNTIF(E91:E92,$B$4)+COUNTIF(E86:E90,$B$4),"")</f>
        <v>2</v>
      </c>
      <c r="F93" s="554">
        <f t="shared" si="30"/>
        <v>2</v>
      </c>
      <c r="G93" s="554">
        <f t="shared" si="30"/>
        <v>1</v>
      </c>
      <c r="H93" s="554" t="str">
        <f t="shared" si="30"/>
        <v/>
      </c>
      <c r="I93" s="554" t="str">
        <f t="shared" si="30"/>
        <v/>
      </c>
      <c r="J93" s="554" t="str">
        <f t="shared" si="30"/>
        <v/>
      </c>
      <c r="K93" s="554" t="str">
        <f t="shared" si="30"/>
        <v/>
      </c>
      <c r="L93" s="554">
        <f t="shared" si="30"/>
        <v>2</v>
      </c>
      <c r="M93" s="554">
        <f t="shared" si="30"/>
        <v>2</v>
      </c>
      <c r="N93" s="554">
        <f t="shared" si="30"/>
        <v>2</v>
      </c>
      <c r="O93" s="554">
        <f t="shared" si="30"/>
        <v>2</v>
      </c>
      <c r="P93" s="554" t="str">
        <f t="shared" si="30"/>
        <v/>
      </c>
      <c r="Q93" s="554" t="str">
        <f t="shared" si="30"/>
        <v/>
      </c>
      <c r="R93" s="554" t="str">
        <f t="shared" si="30"/>
        <v/>
      </c>
    </row>
    <row r="94" spans="2:19" ht="13.5" thickBot="1" x14ac:dyDescent="0.25">
      <c r="B94" s="599" t="s">
        <v>624</v>
      </c>
      <c r="C94" s="600">
        <f>SUM(D94:R94)</f>
        <v>19980</v>
      </c>
      <c r="D94" s="573">
        <f>IFERROR(IF(SUM(D58,D68,D78,D88)&gt;0,SUM(D58,D68,D78,D88),""),"")</f>
        <v>3240</v>
      </c>
      <c r="E94" s="573">
        <f t="shared" ref="E94:R94" si="31">IFERROR(IF(SUM(E58,E68,E78,E88)&gt;0,SUM(E58,E68,E78,E88),""),"")</f>
        <v>1485</v>
      </c>
      <c r="F94" s="573">
        <f t="shared" si="31"/>
        <v>3960</v>
      </c>
      <c r="G94" s="573">
        <f t="shared" si="31"/>
        <v>2310</v>
      </c>
      <c r="H94" s="573">
        <f t="shared" si="31"/>
        <v>495</v>
      </c>
      <c r="I94" s="573">
        <f t="shared" si="31"/>
        <v>660</v>
      </c>
      <c r="J94" s="573" t="str">
        <f t="shared" si="31"/>
        <v/>
      </c>
      <c r="K94" s="573" t="str">
        <f t="shared" si="31"/>
        <v/>
      </c>
      <c r="L94" s="573">
        <f t="shared" si="31"/>
        <v>1980</v>
      </c>
      <c r="M94" s="573">
        <f t="shared" si="31"/>
        <v>2160</v>
      </c>
      <c r="N94" s="573">
        <f t="shared" si="31"/>
        <v>1800</v>
      </c>
      <c r="O94" s="573">
        <f t="shared" si="31"/>
        <v>1530</v>
      </c>
      <c r="P94" s="573">
        <f t="shared" si="31"/>
        <v>360</v>
      </c>
      <c r="Q94" s="573" t="str">
        <f t="shared" si="31"/>
        <v/>
      </c>
      <c r="R94" s="574" t="str">
        <f t="shared" si="31"/>
        <v/>
      </c>
      <c r="S94" s="341"/>
    </row>
    <row r="95" spans="2:19" x14ac:dyDescent="0.2">
      <c r="B95" s="575"/>
      <c r="C95" s="575"/>
      <c r="D95" s="575"/>
      <c r="E95" s="575"/>
      <c r="F95" s="575"/>
      <c r="G95" s="575"/>
      <c r="H95" s="575"/>
      <c r="I95" s="575"/>
      <c r="J95" s="575"/>
      <c r="K95" s="575"/>
      <c r="L95" s="575"/>
      <c r="M95" s="575"/>
      <c r="N95" s="575"/>
      <c r="O95" s="575"/>
      <c r="P95" s="575"/>
      <c r="Q95" s="575"/>
      <c r="R95" s="575"/>
      <c r="S95" s="341"/>
    </row>
    <row r="96" spans="2:19" x14ac:dyDescent="0.2">
      <c r="B96" s="575"/>
      <c r="C96" s="575"/>
      <c r="D96" s="575"/>
      <c r="E96" s="575"/>
      <c r="F96" s="575"/>
      <c r="G96" s="575"/>
      <c r="H96" s="575"/>
      <c r="I96" s="575"/>
      <c r="J96" s="575"/>
      <c r="K96" s="575"/>
      <c r="L96" s="575"/>
      <c r="M96" s="575"/>
      <c r="N96" s="575"/>
      <c r="O96" s="575"/>
      <c r="P96" s="575"/>
      <c r="Q96" s="575"/>
      <c r="R96" s="575"/>
    </row>
    <row r="97" spans="2:19" x14ac:dyDescent="0.2">
      <c r="B97" s="575"/>
      <c r="C97" s="575"/>
      <c r="D97" s="575"/>
      <c r="E97" s="575"/>
      <c r="F97" s="575"/>
      <c r="G97" s="575"/>
      <c r="H97" s="575"/>
      <c r="I97" s="575"/>
      <c r="J97" s="575"/>
      <c r="K97" s="575"/>
      <c r="L97" s="575"/>
      <c r="M97" s="575"/>
      <c r="N97" s="575"/>
      <c r="O97" s="575"/>
      <c r="P97" s="575"/>
      <c r="Q97" s="575"/>
      <c r="R97" s="575"/>
    </row>
    <row r="98" spans="2:19" x14ac:dyDescent="0.2">
      <c r="B98" s="575"/>
      <c r="C98" s="575"/>
      <c r="D98" s="575"/>
      <c r="E98" s="575"/>
      <c r="F98" s="575"/>
      <c r="G98" s="575"/>
      <c r="H98" s="575"/>
      <c r="I98" s="575"/>
      <c r="J98" s="575"/>
      <c r="K98" s="575"/>
      <c r="L98" s="575"/>
      <c r="M98" s="575"/>
      <c r="N98" s="575"/>
      <c r="O98" s="575"/>
      <c r="P98" s="575"/>
      <c r="Q98" s="575"/>
      <c r="R98" s="575"/>
    </row>
    <row r="99" spans="2:19" x14ac:dyDescent="0.2">
      <c r="B99" s="575"/>
      <c r="C99" s="575"/>
      <c r="D99" s="575"/>
      <c r="E99" s="575"/>
      <c r="F99" s="575"/>
      <c r="G99" s="575"/>
      <c r="H99" s="575"/>
      <c r="I99" s="575"/>
      <c r="J99" s="575"/>
      <c r="K99" s="575"/>
      <c r="L99" s="575"/>
      <c r="M99" s="575"/>
      <c r="N99" s="575"/>
      <c r="O99" s="575"/>
      <c r="P99" s="575"/>
      <c r="Q99" s="575"/>
      <c r="R99" s="575"/>
    </row>
    <row r="100" spans="2:19" x14ac:dyDescent="0.2">
      <c r="B100" s="575"/>
      <c r="C100" s="575"/>
      <c r="D100" s="575"/>
      <c r="E100" s="575"/>
      <c r="F100" s="575"/>
      <c r="G100" s="601"/>
      <c r="H100" s="575"/>
      <c r="I100" s="575"/>
      <c r="J100" s="575"/>
      <c r="K100" s="575"/>
      <c r="L100" s="575"/>
      <c r="M100" s="575"/>
      <c r="N100" s="575"/>
      <c r="O100" s="575"/>
      <c r="P100" s="575"/>
      <c r="Q100" s="575"/>
      <c r="R100" s="575"/>
    </row>
    <row r="101" spans="2:19" x14ac:dyDescent="0.2"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75"/>
      <c r="P101" s="575"/>
      <c r="Q101" s="575"/>
      <c r="R101" s="575"/>
    </row>
    <row r="102" spans="2:19" x14ac:dyDescent="0.2"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75"/>
      <c r="P102" s="575"/>
      <c r="Q102" s="575"/>
      <c r="R102" s="575"/>
    </row>
    <row r="103" spans="2:19" x14ac:dyDescent="0.2"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</row>
    <row r="104" spans="2:19" x14ac:dyDescent="0.2"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</row>
    <row r="105" spans="2:19" ht="13.5" thickBot="1" x14ac:dyDescent="0.25">
      <c r="B105" s="575"/>
      <c r="C105" s="575"/>
      <c r="D105" s="575"/>
      <c r="E105" s="575"/>
      <c r="F105" s="575"/>
      <c r="G105" s="575"/>
      <c r="H105" s="575"/>
      <c r="I105" s="575"/>
      <c r="J105" s="575"/>
      <c r="K105" s="575"/>
      <c r="L105" s="575"/>
      <c r="M105" s="575"/>
      <c r="N105" s="575"/>
      <c r="O105" s="575"/>
      <c r="P105" s="575"/>
      <c r="Q105" s="575"/>
      <c r="R105" s="575"/>
    </row>
    <row r="106" spans="2:19" ht="18" x14ac:dyDescent="0.25">
      <c r="B106" s="735" t="s">
        <v>614</v>
      </c>
      <c r="C106" s="736"/>
      <c r="D106" s="736"/>
      <c r="E106" s="736"/>
      <c r="F106" s="736"/>
      <c r="G106" s="736"/>
      <c r="H106" s="736"/>
      <c r="I106" s="736"/>
      <c r="J106" s="736"/>
      <c r="K106" s="736"/>
      <c r="L106" s="736"/>
      <c r="M106" s="736"/>
      <c r="N106" s="736"/>
      <c r="O106" s="736"/>
      <c r="P106" s="736"/>
      <c r="Q106" s="736"/>
      <c r="R106" s="737"/>
      <c r="S106" s="341"/>
    </row>
    <row r="107" spans="2:19" x14ac:dyDescent="0.2">
      <c r="B107" s="538" t="s">
        <v>594</v>
      </c>
      <c r="C107" s="534"/>
      <c r="D107" s="533"/>
      <c r="E107" s="534"/>
      <c r="F107" s="533"/>
      <c r="G107" s="533"/>
      <c r="H107" s="534"/>
      <c r="I107" s="534"/>
      <c r="J107" s="533"/>
      <c r="K107" s="533"/>
      <c r="L107" s="533"/>
      <c r="M107" s="533"/>
      <c r="N107" s="534"/>
      <c r="O107" s="534"/>
      <c r="P107" s="534"/>
      <c r="Q107" s="534"/>
      <c r="R107" s="535"/>
      <c r="S107" s="341"/>
    </row>
    <row r="108" spans="2:19" x14ac:dyDescent="0.2">
      <c r="B108" s="538" t="s">
        <v>634</v>
      </c>
      <c r="C108" s="539"/>
      <c r="D108" s="542">
        <f>IF(IF(SUM(D115,D125,D135,D145,D153)&gt;0,SUM(D115,D125,D135,D145,D153),0)-IF(COUNTIF(D91:D92,$B$4)&gt;0,COUNTIF(D91:D92,$B$4),0)&gt;0,IF(SUM(D115,D125,D135,D145,D153)&gt;0,SUM(D115,D125,D135,D145,D153),0)-IF(COUNTIF(D91:D92,$B$4)&gt;0,COUNTIF(D91:D92,$B$4),0),"")</f>
        <v>26</v>
      </c>
      <c r="E108" s="542">
        <f t="shared" ref="E108:R108" si="32">IF(IF(SUM(E115,E125,E135,E145,E153)&gt;0,SUM(E115,E125,E135,E145,E153),0)-IF(COUNTIF(E91:E92,$B$4)&gt;0,COUNTIF(E91:E92,$B$4),0)&gt;0,IF(SUM(E115,E125,E135,E145,E153)&gt;0,SUM(E115,E125,E135,E145,E153),0)-IF(COUNTIF(E91:E92,$B$4)&gt;0,COUNTIF(E91:E92,$B$4),0),"")</f>
        <v>26</v>
      </c>
      <c r="F108" s="542" t="str">
        <f t="shared" si="32"/>
        <v/>
      </c>
      <c r="G108" s="542">
        <f t="shared" si="32"/>
        <v>13</v>
      </c>
      <c r="H108" s="542" t="str">
        <f t="shared" si="32"/>
        <v/>
      </c>
      <c r="I108" s="542" t="str">
        <f t="shared" si="32"/>
        <v/>
      </c>
      <c r="J108" s="542" t="str">
        <f t="shared" si="32"/>
        <v/>
      </c>
      <c r="K108" s="542" t="str">
        <f t="shared" si="32"/>
        <v/>
      </c>
      <c r="L108" s="542">
        <f t="shared" si="32"/>
        <v>8</v>
      </c>
      <c r="M108" s="542">
        <f t="shared" si="32"/>
        <v>9</v>
      </c>
      <c r="N108" s="542" t="str">
        <f t="shared" si="32"/>
        <v/>
      </c>
      <c r="O108" s="542">
        <f t="shared" si="32"/>
        <v>3</v>
      </c>
      <c r="P108" s="542" t="str">
        <f t="shared" si="32"/>
        <v/>
      </c>
      <c r="Q108" s="542">
        <f t="shared" si="32"/>
        <v>17</v>
      </c>
      <c r="R108" s="542" t="str">
        <f t="shared" si="32"/>
        <v/>
      </c>
      <c r="S108" s="341"/>
    </row>
    <row r="109" spans="2:19" x14ac:dyDescent="0.2">
      <c r="B109" s="538" t="s">
        <v>635</v>
      </c>
      <c r="C109" s="534"/>
      <c r="D109" s="542">
        <f>IF(SUM(D115,D125,D135,D145)&gt;0,SUM(D115,D125,D135,D145),"")</f>
        <v>23</v>
      </c>
      <c r="E109" s="542">
        <f t="shared" ref="E109:R109" si="33">IF(SUM(E115,E125,E135,E145)&gt;0,SUM(E115,E125,E135,E145),"")</f>
        <v>23</v>
      </c>
      <c r="F109" s="542">
        <f>IF(SUM(F115,F125,F135,F145)&gt;0,SUM(F115,F125,F135,F145),"")</f>
        <v>2</v>
      </c>
      <c r="G109" s="542">
        <f t="shared" si="33"/>
        <v>14</v>
      </c>
      <c r="H109" s="542" t="str">
        <f t="shared" si="33"/>
        <v/>
      </c>
      <c r="I109" s="542" t="str">
        <f t="shared" si="33"/>
        <v/>
      </c>
      <c r="J109" s="542" t="str">
        <f t="shared" si="33"/>
        <v/>
      </c>
      <c r="K109" s="542" t="str">
        <f t="shared" si="33"/>
        <v/>
      </c>
      <c r="L109" s="542">
        <f t="shared" si="33"/>
        <v>6</v>
      </c>
      <c r="M109" s="542">
        <f t="shared" si="33"/>
        <v>11</v>
      </c>
      <c r="N109" s="542">
        <f t="shared" si="33"/>
        <v>2</v>
      </c>
      <c r="O109" s="542">
        <f t="shared" si="33"/>
        <v>5</v>
      </c>
      <c r="P109" s="542" t="str">
        <f t="shared" si="33"/>
        <v/>
      </c>
      <c r="Q109" s="542">
        <f t="shared" si="33"/>
        <v>12</v>
      </c>
      <c r="R109" s="548" t="str">
        <f t="shared" si="33"/>
        <v/>
      </c>
      <c r="S109" s="341"/>
    </row>
    <row r="110" spans="2:19" x14ac:dyDescent="0.2">
      <c r="B110" s="543" t="s">
        <v>623</v>
      </c>
      <c r="C110" s="534"/>
      <c r="D110" s="542" t="str">
        <f>IF(COUNTIF(D111:D152,'Dados de Físico Semanal'!$C$2)&gt;0,COUNTIF(D111:D152,'Dados de Físico Semanal'!$C$2),"")</f>
        <v/>
      </c>
      <c r="E110" s="542" t="str">
        <f>IF(COUNTIF(E111:E152,'Dados de Físico Semanal'!$C$2)&gt;0,COUNTIF(E111:E152,'Dados de Físico Semanal'!$C$2),"")</f>
        <v/>
      </c>
      <c r="F110" s="542" t="str">
        <f>IF(COUNTIF(F111:F152,'Dados de Físico Semanal'!$C$2)&gt;0,COUNTIF(F111:F152,'Dados de Físico Semanal'!$C$2),"")</f>
        <v/>
      </c>
      <c r="G110" s="542">
        <f>IF(COUNTIF(G111:G152,'Dados de Físico Semanal'!$C$2)&gt;0,COUNTIF(G111:G152,'Dados de Físico Semanal'!$C$2),"")</f>
        <v>4</v>
      </c>
      <c r="H110" s="542" t="str">
        <f>IF(COUNTIF(H111:H152,'Dados de Físico Semanal'!$C$2)&gt;0,COUNTIF(H111:H152,'Dados de Físico Semanal'!$C$2),"")</f>
        <v/>
      </c>
      <c r="I110" s="542" t="str">
        <f>IF(COUNTIF(I111:I152,'Dados de Físico Semanal'!$C$2)&gt;0,COUNTIF(I111:I152,'Dados de Físico Semanal'!$C$2),"")</f>
        <v/>
      </c>
      <c r="J110" s="542" t="str">
        <f>IF(COUNTIF(J111:J152,'Dados de Físico Semanal'!$C$2)&gt;0,COUNTIF(J111:J152,'Dados de Físico Semanal'!$C$2),"")</f>
        <v/>
      </c>
      <c r="K110" s="542" t="str">
        <f>IF(COUNTIF(K111:K152,'Dados de Físico Semanal'!$C$2)&gt;0,COUNTIF(K111:K152,'Dados de Físico Semanal'!$C$2),"")</f>
        <v/>
      </c>
      <c r="L110" s="542" t="str">
        <f>IF(COUNTIF(L111:L152,'Dados de Físico Semanal'!$C$2)&gt;0,COUNTIF(L111:L152,'Dados de Físico Semanal'!$C$2),"")</f>
        <v/>
      </c>
      <c r="M110" s="542">
        <f>IF(COUNTIF(M111:M152,'Dados de Físico Semanal'!$C$2)&gt;0,COUNTIF(M111:M152,'Dados de Físico Semanal'!$C$2),"")</f>
        <v>2</v>
      </c>
      <c r="N110" s="542" t="str">
        <f>IF(COUNTIF(N111:N152,'Dados de Físico Semanal'!$C$2)&gt;0,COUNTIF(N111:N152,'Dados de Físico Semanal'!$C$2),"")</f>
        <v/>
      </c>
      <c r="O110" s="542">
        <f>IF(COUNTIF(O111:O152,'Dados de Físico Semanal'!$C$2)&gt;0,COUNTIF(O111:O152,'Dados de Físico Semanal'!$C$2),"")</f>
        <v>2</v>
      </c>
      <c r="P110" s="542" t="str">
        <f>IF(COUNTIF(P111:P152,'Dados de Físico Semanal'!$C$2)&gt;0,COUNTIF(P111:P152,'Dados de Físico Semanal'!$C$2),"")</f>
        <v/>
      </c>
      <c r="Q110" s="542" t="str">
        <f>IF(COUNTIF(Q111:Q152,'Dados de Físico Semanal'!$C$2)&gt;0,COUNTIF(Q111:Q152,'Dados de Físico Semanal'!$C$2),"")</f>
        <v/>
      </c>
      <c r="R110" s="542" t="str">
        <f>IF(COUNTIF(R111:R152,'Dados de Físico Semanal'!$C$2)&gt;0,COUNTIF(R111:R152,'Dados de Físico Semanal'!$C$2),"")</f>
        <v/>
      </c>
    </row>
    <row r="111" spans="2:19" x14ac:dyDescent="0.2">
      <c r="B111" s="550">
        <v>44713</v>
      </c>
      <c r="C111" s="526">
        <f t="shared" ref="C111:C112" si="34">IF(COUNTIF(D111:R111,$B$4)&gt;0,COUNTIF(D111:R111,$B$4),"")</f>
        <v>4</v>
      </c>
      <c r="D111" s="551" t="s">
        <v>407</v>
      </c>
      <c r="E111" s="551" t="s">
        <v>407</v>
      </c>
      <c r="F111" s="552" t="s">
        <v>601</v>
      </c>
      <c r="G111" s="551" t="s">
        <v>407</v>
      </c>
      <c r="H111" s="552"/>
      <c r="I111" s="552"/>
      <c r="J111" s="552"/>
      <c r="K111" s="552"/>
      <c r="L111" s="552" t="s">
        <v>601</v>
      </c>
      <c r="M111" s="552" t="s">
        <v>601</v>
      </c>
      <c r="N111" s="552" t="s">
        <v>601</v>
      </c>
      <c r="O111" s="551" t="s">
        <v>407</v>
      </c>
      <c r="P111" s="552"/>
      <c r="Q111" s="552"/>
      <c r="R111" s="553"/>
    </row>
    <row r="112" spans="2:19" x14ac:dyDescent="0.2">
      <c r="B112" s="550">
        <v>44714</v>
      </c>
      <c r="C112" s="526">
        <f t="shared" si="34"/>
        <v>4</v>
      </c>
      <c r="D112" s="551" t="s">
        <v>407</v>
      </c>
      <c r="E112" s="551" t="s">
        <v>407</v>
      </c>
      <c r="F112" s="552" t="s">
        <v>601</v>
      </c>
      <c r="G112" s="551" t="s">
        <v>407</v>
      </c>
      <c r="H112" s="552"/>
      <c r="I112" s="552"/>
      <c r="J112" s="552"/>
      <c r="K112" s="552"/>
      <c r="L112" s="552" t="s">
        <v>601</v>
      </c>
      <c r="M112" s="552" t="s">
        <v>601</v>
      </c>
      <c r="N112" s="552" t="s">
        <v>601</v>
      </c>
      <c r="O112" s="551" t="s">
        <v>407</v>
      </c>
      <c r="P112" s="552"/>
      <c r="Q112" s="552"/>
      <c r="R112" s="553"/>
    </row>
    <row r="113" spans="2:19" x14ac:dyDescent="0.2">
      <c r="B113" s="550">
        <v>44715</v>
      </c>
      <c r="C113" s="526">
        <f t="shared" ref="C113:C124" si="35">IF(COUNTIF(D113:R113,$B$4)&gt;0,COUNTIF(D113:R113,$B$4),"")</f>
        <v>4</v>
      </c>
      <c r="D113" s="551" t="s">
        <v>407</v>
      </c>
      <c r="E113" s="551" t="s">
        <v>407</v>
      </c>
      <c r="F113" s="552" t="s">
        <v>601</v>
      </c>
      <c r="G113" s="551" t="s">
        <v>407</v>
      </c>
      <c r="H113" s="552"/>
      <c r="I113" s="552"/>
      <c r="J113" s="552"/>
      <c r="K113" s="552"/>
      <c r="L113" s="552" t="s">
        <v>601</v>
      </c>
      <c r="M113" s="552" t="s">
        <v>601</v>
      </c>
      <c r="N113" s="552" t="s">
        <v>601</v>
      </c>
      <c r="O113" s="551" t="s">
        <v>407</v>
      </c>
      <c r="P113" s="552"/>
      <c r="Q113" s="552"/>
      <c r="R113" s="553"/>
    </row>
    <row r="114" spans="2:19" x14ac:dyDescent="0.2">
      <c r="B114" s="602">
        <v>44716</v>
      </c>
      <c r="C114" s="526">
        <f t="shared" si="35"/>
        <v>2</v>
      </c>
      <c r="D114" s="551" t="s">
        <v>407</v>
      </c>
      <c r="E114" s="551" t="s">
        <v>407</v>
      </c>
      <c r="F114" s="552" t="s">
        <v>601</v>
      </c>
      <c r="G114" s="552" t="s">
        <v>596</v>
      </c>
      <c r="H114" s="552"/>
      <c r="I114" s="552"/>
      <c r="J114" s="552"/>
      <c r="K114" s="552"/>
      <c r="L114" s="552" t="s">
        <v>601</v>
      </c>
      <c r="M114" s="552" t="s">
        <v>601</v>
      </c>
      <c r="N114" s="552" t="s">
        <v>601</v>
      </c>
      <c r="O114" s="552" t="s">
        <v>596</v>
      </c>
      <c r="P114" s="552"/>
      <c r="Q114" s="552"/>
      <c r="R114" s="553"/>
    </row>
    <row r="115" spans="2:19" x14ac:dyDescent="0.2">
      <c r="B115" s="603" t="s">
        <v>610</v>
      </c>
      <c r="C115" s="526"/>
      <c r="D115" s="554">
        <f>IF(COUNTIF(D111:D113,$B$4)+COUNTIF(D86:D92,$B$4)&gt;0,COUNTIF(D111:D113,$B$4)+COUNTIF(D86:D92,$B$4),"")</f>
        <v>7</v>
      </c>
      <c r="E115" s="554">
        <f t="shared" ref="E115:R115" si="36">IF(COUNTIF(E111:E113,$B$4)+COUNTIF(E86:E92,$B$4)&gt;0,COUNTIF(E111:E113,$B$4)+COUNTIF(E86:E92,$B$4),"")</f>
        <v>5</v>
      </c>
      <c r="F115" s="554">
        <f>IF(COUNTIF(F111:F113,$B$4)+COUNTIF(F86:F92,$B$4)&gt;0,COUNTIF(F111:F113,$B$4)+COUNTIF(F86:F92,$B$4),"")</f>
        <v>2</v>
      </c>
      <c r="G115" s="554">
        <f t="shared" si="36"/>
        <v>4</v>
      </c>
      <c r="H115" s="554" t="str">
        <f t="shared" si="36"/>
        <v/>
      </c>
      <c r="I115" s="554" t="str">
        <f t="shared" si="36"/>
        <v/>
      </c>
      <c r="J115" s="554" t="str">
        <f t="shared" si="36"/>
        <v/>
      </c>
      <c r="K115" s="554" t="str">
        <f t="shared" si="36"/>
        <v/>
      </c>
      <c r="L115" s="554">
        <f t="shared" si="36"/>
        <v>2</v>
      </c>
      <c r="M115" s="554">
        <f t="shared" si="36"/>
        <v>2</v>
      </c>
      <c r="N115" s="554">
        <f t="shared" si="36"/>
        <v>2</v>
      </c>
      <c r="O115" s="554">
        <f t="shared" si="36"/>
        <v>5</v>
      </c>
      <c r="P115" s="554" t="str">
        <f t="shared" si="36"/>
        <v/>
      </c>
      <c r="Q115" s="554" t="str">
        <f t="shared" si="36"/>
        <v/>
      </c>
      <c r="R115" s="555" t="str">
        <f t="shared" si="36"/>
        <v/>
      </c>
    </row>
    <row r="116" spans="2:19" x14ac:dyDescent="0.2">
      <c r="B116" s="590" t="s">
        <v>611</v>
      </c>
      <c r="C116" s="556">
        <f ca="1">IF(B114&lt;=TODAY(),SUM(D116:R116),"")</f>
        <v>3750</v>
      </c>
      <c r="D116" s="557">
        <f>IF(COUNTIF(D111:D113,$B$4)+COUNTIF(D86:D92,$B$4)&gt;0,(COUNTIF(D111:D113,$B$4)+COUNTIF(D86:D92,$B$4))*D$5,"")</f>
        <v>945</v>
      </c>
      <c r="E116" s="557">
        <f t="shared" ref="E116:R116" si="37">IF(COUNTIF(E111:E113,$B$4)+COUNTIF(E86:E92,$B$4)&gt;0,(COUNTIF(E111:E113,$B$4)+COUNTIF(E86:E92,$B$4))*E$5,"")</f>
        <v>825</v>
      </c>
      <c r="F116" s="557">
        <f t="shared" si="37"/>
        <v>330</v>
      </c>
      <c r="G116" s="557">
        <f t="shared" si="37"/>
        <v>660</v>
      </c>
      <c r="H116" s="557" t="str">
        <f t="shared" si="37"/>
        <v/>
      </c>
      <c r="I116" s="557" t="str">
        <f t="shared" si="37"/>
        <v/>
      </c>
      <c r="J116" s="557" t="str">
        <f t="shared" si="37"/>
        <v/>
      </c>
      <c r="K116" s="557" t="str">
        <f t="shared" si="37"/>
        <v/>
      </c>
      <c r="L116" s="557">
        <f t="shared" si="37"/>
        <v>180</v>
      </c>
      <c r="M116" s="557">
        <f t="shared" si="37"/>
        <v>180</v>
      </c>
      <c r="N116" s="557">
        <f t="shared" si="37"/>
        <v>180</v>
      </c>
      <c r="O116" s="557">
        <f t="shared" si="37"/>
        <v>450</v>
      </c>
      <c r="P116" s="557" t="str">
        <f t="shared" si="37"/>
        <v/>
      </c>
      <c r="Q116" s="557" t="str">
        <f t="shared" si="37"/>
        <v/>
      </c>
      <c r="R116" s="558" t="str">
        <f t="shared" si="37"/>
        <v/>
      </c>
    </row>
    <row r="117" spans="2:19" x14ac:dyDescent="0.2">
      <c r="B117" s="559"/>
      <c r="C117" s="638">
        <f ca="1">IF(C116&lt;&gt;"",SUM(D117:R117)-C116,"")</f>
        <v>0</v>
      </c>
      <c r="D117" s="560">
        <v>945</v>
      </c>
      <c r="E117" s="560">
        <v>825</v>
      </c>
      <c r="F117" s="560">
        <v>330</v>
      </c>
      <c r="G117" s="560">
        <v>660</v>
      </c>
      <c r="H117" s="560"/>
      <c r="I117" s="560"/>
      <c r="J117" s="560"/>
      <c r="K117" s="560"/>
      <c r="L117" s="560">
        <v>180</v>
      </c>
      <c r="M117" s="560">
        <v>180</v>
      </c>
      <c r="N117" s="560">
        <v>180</v>
      </c>
      <c r="O117" s="560">
        <v>450</v>
      </c>
      <c r="P117" s="560"/>
      <c r="Q117" s="560"/>
      <c r="R117" s="560"/>
    </row>
    <row r="118" spans="2:19" x14ac:dyDescent="0.2">
      <c r="B118" s="604">
        <v>44717</v>
      </c>
      <c r="C118" s="605" t="str">
        <f t="shared" si="35"/>
        <v/>
      </c>
      <c r="D118" s="606"/>
      <c r="E118" s="606"/>
      <c r="F118" s="606"/>
      <c r="G118" s="606"/>
      <c r="H118" s="606"/>
      <c r="I118" s="606"/>
      <c r="J118" s="606"/>
      <c r="K118" s="606"/>
      <c r="L118" s="606"/>
      <c r="M118" s="606"/>
      <c r="N118" s="606"/>
      <c r="O118" s="606"/>
      <c r="P118" s="606"/>
      <c r="Q118" s="606"/>
      <c r="R118" s="607"/>
    </row>
    <row r="119" spans="2:19" x14ac:dyDescent="0.2">
      <c r="B119" s="608">
        <v>44718</v>
      </c>
      <c r="C119" s="605">
        <f t="shared" si="35"/>
        <v>3</v>
      </c>
      <c r="D119" s="609" t="s">
        <v>407</v>
      </c>
      <c r="E119" s="609" t="s">
        <v>407</v>
      </c>
      <c r="F119" s="609" t="s">
        <v>601</v>
      </c>
      <c r="G119" s="609" t="s">
        <v>407</v>
      </c>
      <c r="H119" s="610"/>
      <c r="I119" s="610"/>
      <c r="J119" s="610"/>
      <c r="K119" s="610"/>
      <c r="L119" s="609" t="s">
        <v>601</v>
      </c>
      <c r="M119" s="609" t="s">
        <v>601</v>
      </c>
      <c r="N119" s="609" t="s">
        <v>601</v>
      </c>
      <c r="O119" s="609" t="s">
        <v>596</v>
      </c>
      <c r="P119" s="609"/>
      <c r="Q119" s="611"/>
      <c r="R119" s="612"/>
    </row>
    <row r="120" spans="2:19" x14ac:dyDescent="0.2">
      <c r="B120" s="550">
        <v>44719</v>
      </c>
      <c r="C120" s="526">
        <f t="shared" si="35"/>
        <v>5</v>
      </c>
      <c r="D120" s="551" t="s">
        <v>407</v>
      </c>
      <c r="E120" s="552" t="s">
        <v>407</v>
      </c>
      <c r="F120" s="551"/>
      <c r="G120" s="552" t="s">
        <v>407</v>
      </c>
      <c r="H120" s="552"/>
      <c r="I120" s="552"/>
      <c r="J120" s="552"/>
      <c r="K120" s="552"/>
      <c r="L120" s="551" t="s">
        <v>407</v>
      </c>
      <c r="M120" s="551" t="s">
        <v>407</v>
      </c>
      <c r="N120" s="551"/>
      <c r="O120" s="551"/>
      <c r="P120" s="551"/>
      <c r="Q120" s="530"/>
      <c r="R120" s="613"/>
    </row>
    <row r="121" spans="2:19" x14ac:dyDescent="0.2">
      <c r="B121" s="550">
        <v>44720</v>
      </c>
      <c r="C121" s="526">
        <f t="shared" si="35"/>
        <v>5</v>
      </c>
      <c r="D121" s="614" t="s">
        <v>407</v>
      </c>
      <c r="E121" s="614" t="s">
        <v>407</v>
      </c>
      <c r="F121" s="614"/>
      <c r="G121" s="614" t="s">
        <v>407</v>
      </c>
      <c r="H121" s="614"/>
      <c r="I121" s="614"/>
      <c r="J121" s="614"/>
      <c r="K121" s="614"/>
      <c r="L121" s="614" t="s">
        <v>407</v>
      </c>
      <c r="M121" s="614" t="s">
        <v>407</v>
      </c>
      <c r="N121" s="614"/>
      <c r="O121" s="614"/>
      <c r="P121" s="614"/>
      <c r="Q121" s="615"/>
      <c r="R121" s="616"/>
      <c r="S121" s="341"/>
    </row>
    <row r="122" spans="2:19" x14ac:dyDescent="0.2">
      <c r="B122" s="550">
        <v>44721</v>
      </c>
      <c r="C122" s="526">
        <f t="shared" si="35"/>
        <v>4</v>
      </c>
      <c r="D122" s="551" t="s">
        <v>407</v>
      </c>
      <c r="E122" s="552" t="s">
        <v>407</v>
      </c>
      <c r="F122" s="552"/>
      <c r="G122" s="552" t="s">
        <v>407</v>
      </c>
      <c r="H122" s="552"/>
      <c r="I122" s="552"/>
      <c r="J122" s="552"/>
      <c r="K122" s="552"/>
      <c r="L122" s="552" t="s">
        <v>407</v>
      </c>
      <c r="M122" s="552" t="s">
        <v>596</v>
      </c>
      <c r="N122" s="552"/>
      <c r="O122" s="552"/>
      <c r="P122" s="552"/>
      <c r="Q122" s="553"/>
      <c r="R122" s="617"/>
    </row>
    <row r="123" spans="2:19" x14ac:dyDescent="0.2">
      <c r="B123" s="550">
        <v>44722</v>
      </c>
      <c r="C123" s="526">
        <f t="shared" si="35"/>
        <v>5</v>
      </c>
      <c r="D123" s="552" t="s">
        <v>407</v>
      </c>
      <c r="E123" s="552" t="s">
        <v>407</v>
      </c>
      <c r="F123" s="552"/>
      <c r="G123" s="552" t="s">
        <v>407</v>
      </c>
      <c r="H123" s="552"/>
      <c r="I123" s="552"/>
      <c r="J123" s="552"/>
      <c r="K123" s="552"/>
      <c r="L123" s="552" t="s">
        <v>407</v>
      </c>
      <c r="M123" s="552" t="s">
        <v>407</v>
      </c>
      <c r="N123" s="552"/>
      <c r="O123" s="552"/>
      <c r="P123" s="552"/>
      <c r="Q123" s="553"/>
      <c r="R123" s="618"/>
    </row>
    <row r="124" spans="2:19" x14ac:dyDescent="0.2">
      <c r="B124" s="550">
        <v>44723</v>
      </c>
      <c r="C124" s="526">
        <f t="shared" si="35"/>
        <v>2</v>
      </c>
      <c r="D124" s="552" t="s">
        <v>626</v>
      </c>
      <c r="E124" s="552" t="s">
        <v>407</v>
      </c>
      <c r="F124" s="552"/>
      <c r="G124" s="552" t="s">
        <v>596</v>
      </c>
      <c r="H124" s="552"/>
      <c r="I124" s="552"/>
      <c r="J124" s="552"/>
      <c r="K124" s="552"/>
      <c r="L124" s="552" t="s">
        <v>601</v>
      </c>
      <c r="M124" s="552" t="s">
        <v>625</v>
      </c>
      <c r="N124" s="552"/>
      <c r="O124" s="552"/>
      <c r="P124" s="552"/>
      <c r="Q124" s="553" t="s">
        <v>407</v>
      </c>
      <c r="R124" s="618"/>
    </row>
    <row r="125" spans="2:19" x14ac:dyDescent="0.2">
      <c r="B125" s="531" t="s">
        <v>610</v>
      </c>
      <c r="C125" s="526"/>
      <c r="D125" s="554">
        <f>IF(COUNTIF(D119:D123,$B$4)+COUNTIF(D114:D118,$B$4)&gt;0,COUNTIF(D119:D123,$B$4)+COUNTIF(D114:D118,$B$4),"")</f>
        <v>6</v>
      </c>
      <c r="E125" s="554">
        <f t="shared" ref="E125:R125" si="38">IF(COUNTIF(E119:E123,$B$4)+COUNTIF(E114:E118,$B$4)&gt;0,COUNTIF(E119:E123,$B$4)+COUNTIF(E114:E118,$B$4),"")</f>
        <v>6</v>
      </c>
      <c r="F125" s="554" t="str">
        <f t="shared" si="38"/>
        <v/>
      </c>
      <c r="G125" s="554">
        <f t="shared" si="38"/>
        <v>5</v>
      </c>
      <c r="H125" s="554" t="str">
        <f t="shared" si="38"/>
        <v/>
      </c>
      <c r="I125" s="554" t="str">
        <f t="shared" si="38"/>
        <v/>
      </c>
      <c r="J125" s="554" t="str">
        <f t="shared" si="38"/>
        <v/>
      </c>
      <c r="K125" s="554" t="str">
        <f t="shared" si="38"/>
        <v/>
      </c>
      <c r="L125" s="554">
        <f t="shared" si="38"/>
        <v>4</v>
      </c>
      <c r="M125" s="554">
        <f t="shared" si="38"/>
        <v>3</v>
      </c>
      <c r="N125" s="554" t="str">
        <f t="shared" si="38"/>
        <v/>
      </c>
      <c r="O125" s="554" t="str">
        <f t="shared" si="38"/>
        <v/>
      </c>
      <c r="P125" s="554" t="str">
        <f t="shared" si="38"/>
        <v/>
      </c>
      <c r="Q125" s="554" t="str">
        <f t="shared" si="38"/>
        <v/>
      </c>
      <c r="R125" s="555" t="str">
        <f t="shared" si="38"/>
        <v/>
      </c>
    </row>
    <row r="126" spans="2:19" x14ac:dyDescent="0.2">
      <c r="B126" s="590" t="s">
        <v>611</v>
      </c>
      <c r="C126" s="556">
        <f ca="1">IF(B124&lt;=TODAY(),SUM(D126:R126),"")</f>
        <v>3255</v>
      </c>
      <c r="D126" s="595">
        <f>IF(COUNTIF(D119:D123,$B$4)+COUNTIF(D114:D118,$B$4)&gt;0,(COUNTIF(D119:D123,$B$4)+COUNTIF(D114:D118,$B$4))*D$5,"")</f>
        <v>810</v>
      </c>
      <c r="E126" s="595">
        <f t="shared" ref="E126:R126" si="39">IF(COUNTIF(E119:E123,$B$4)+COUNTIF(E114:E118,$B$4)&gt;0,(COUNTIF(E119:E123,$B$4)+COUNTIF(E114:E118,$B$4))*E$5,"")</f>
        <v>990</v>
      </c>
      <c r="F126" s="557" t="str">
        <f t="shared" si="39"/>
        <v/>
      </c>
      <c r="G126" s="557">
        <f t="shared" si="39"/>
        <v>825</v>
      </c>
      <c r="H126" s="557" t="str">
        <f t="shared" si="39"/>
        <v/>
      </c>
      <c r="I126" s="557" t="str">
        <f t="shared" si="39"/>
        <v/>
      </c>
      <c r="J126" s="557" t="str">
        <f t="shared" si="39"/>
        <v/>
      </c>
      <c r="K126" s="557" t="str">
        <f t="shared" si="39"/>
        <v/>
      </c>
      <c r="L126" s="557">
        <f t="shared" si="39"/>
        <v>360</v>
      </c>
      <c r="M126" s="557">
        <f t="shared" si="39"/>
        <v>270</v>
      </c>
      <c r="N126" s="557" t="str">
        <f t="shared" si="39"/>
        <v/>
      </c>
      <c r="O126" s="557" t="str">
        <f t="shared" si="39"/>
        <v/>
      </c>
      <c r="P126" s="557" t="str">
        <f t="shared" si="39"/>
        <v/>
      </c>
      <c r="Q126" s="557" t="str">
        <f t="shared" si="39"/>
        <v/>
      </c>
      <c r="R126" s="558" t="str">
        <f t="shared" si="39"/>
        <v/>
      </c>
    </row>
    <row r="127" spans="2:19" x14ac:dyDescent="0.2">
      <c r="B127" s="559"/>
      <c r="C127" s="638">
        <f ca="1">IF(C126&lt;&gt;"",SUM(D127:R127)-C126,"")</f>
        <v>0</v>
      </c>
      <c r="D127" s="560">
        <v>810</v>
      </c>
      <c r="E127" s="560">
        <v>990</v>
      </c>
      <c r="F127" s="560"/>
      <c r="G127" s="560">
        <v>825</v>
      </c>
      <c r="H127" s="560"/>
      <c r="I127" s="560"/>
      <c r="J127" s="560"/>
      <c r="K127" s="560"/>
      <c r="L127" s="560">
        <v>360</v>
      </c>
      <c r="M127" s="560">
        <v>270</v>
      </c>
      <c r="N127" s="560"/>
      <c r="O127" s="560"/>
      <c r="P127" s="560"/>
      <c r="Q127" s="560"/>
      <c r="R127" s="560"/>
    </row>
    <row r="128" spans="2:19" x14ac:dyDescent="0.2">
      <c r="B128" s="619">
        <v>44724</v>
      </c>
      <c r="C128" s="620" t="str">
        <f t="shared" ref="C128:C134" si="40">IF(COUNTIF(D128:R128,$B$4)&gt;0,COUNTIF(D128:R128,$B$4),"")</f>
        <v/>
      </c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597"/>
      <c r="P128" s="597"/>
      <c r="Q128" s="597"/>
      <c r="R128" s="598"/>
    </row>
    <row r="129" spans="2:19" x14ac:dyDescent="0.2">
      <c r="B129" s="621">
        <v>44725</v>
      </c>
      <c r="C129" s="187">
        <f t="shared" si="40"/>
        <v>5</v>
      </c>
      <c r="D129" s="622" t="s">
        <v>407</v>
      </c>
      <c r="E129" s="622" t="s">
        <v>407</v>
      </c>
      <c r="F129" s="622"/>
      <c r="G129" s="622" t="s">
        <v>407</v>
      </c>
      <c r="H129" s="622"/>
      <c r="I129" s="623"/>
      <c r="J129" s="624"/>
      <c r="K129" s="624"/>
      <c r="L129" s="625"/>
      <c r="M129" s="625" t="s">
        <v>407</v>
      </c>
      <c r="N129" s="625"/>
      <c r="O129" s="524"/>
      <c r="P129" s="626"/>
      <c r="Q129" s="626" t="s">
        <v>407</v>
      </c>
      <c r="R129" s="623"/>
    </row>
    <row r="130" spans="2:19" x14ac:dyDescent="0.2">
      <c r="B130" s="550">
        <v>44726</v>
      </c>
      <c r="C130" s="526">
        <f t="shared" si="40"/>
        <v>5</v>
      </c>
      <c r="D130" s="551" t="s">
        <v>407</v>
      </c>
      <c r="E130" s="552" t="s">
        <v>407</v>
      </c>
      <c r="F130" s="551"/>
      <c r="G130" s="551" t="s">
        <v>407</v>
      </c>
      <c r="H130" s="552"/>
      <c r="I130" s="552"/>
      <c r="J130" s="552"/>
      <c r="K130" s="552"/>
      <c r="L130" s="551"/>
      <c r="M130" s="551" t="s">
        <v>407</v>
      </c>
      <c r="N130" s="552"/>
      <c r="O130" s="551"/>
      <c r="P130" s="552"/>
      <c r="Q130" s="552" t="s">
        <v>407</v>
      </c>
      <c r="R130" s="553"/>
    </row>
    <row r="131" spans="2:19" x14ac:dyDescent="0.2">
      <c r="B131" s="550">
        <v>44727</v>
      </c>
      <c r="C131" s="526">
        <f t="shared" si="40"/>
        <v>5</v>
      </c>
      <c r="D131" s="551" t="s">
        <v>407</v>
      </c>
      <c r="E131" s="551" t="s">
        <v>407</v>
      </c>
      <c r="F131" s="551"/>
      <c r="G131" s="551" t="s">
        <v>407</v>
      </c>
      <c r="H131" s="551"/>
      <c r="I131" s="551"/>
      <c r="J131" s="551"/>
      <c r="K131" s="551"/>
      <c r="L131" s="551"/>
      <c r="M131" s="551" t="s">
        <v>407</v>
      </c>
      <c r="N131" s="551"/>
      <c r="O131" s="551"/>
      <c r="P131" s="551"/>
      <c r="Q131" s="551" t="s">
        <v>407</v>
      </c>
      <c r="R131" s="530"/>
    </row>
    <row r="132" spans="2:19" x14ac:dyDescent="0.2">
      <c r="B132" s="550">
        <v>44728</v>
      </c>
      <c r="C132" s="526">
        <f t="shared" si="40"/>
        <v>5</v>
      </c>
      <c r="D132" s="551" t="s">
        <v>407</v>
      </c>
      <c r="E132" s="551" t="s">
        <v>407</v>
      </c>
      <c r="F132" s="551"/>
      <c r="G132" s="551" t="s">
        <v>407</v>
      </c>
      <c r="H132" s="551"/>
      <c r="I132" s="551"/>
      <c r="J132" s="551"/>
      <c r="K132" s="551"/>
      <c r="L132" s="551"/>
      <c r="M132" s="551" t="s">
        <v>407</v>
      </c>
      <c r="N132" s="551"/>
      <c r="O132" s="551"/>
      <c r="P132" s="551"/>
      <c r="Q132" s="551" t="s">
        <v>407</v>
      </c>
      <c r="R132" s="530"/>
    </row>
    <row r="133" spans="2:19" x14ac:dyDescent="0.2">
      <c r="B133" s="550">
        <v>44729</v>
      </c>
      <c r="C133" s="526">
        <f t="shared" si="40"/>
        <v>5</v>
      </c>
      <c r="D133" s="551" t="s">
        <v>407</v>
      </c>
      <c r="E133" s="551" t="s">
        <v>407</v>
      </c>
      <c r="F133" s="551"/>
      <c r="G133" s="551" t="s">
        <v>407</v>
      </c>
      <c r="H133" s="551"/>
      <c r="I133" s="551"/>
      <c r="J133" s="551"/>
      <c r="K133" s="551"/>
      <c r="L133" s="551"/>
      <c r="M133" s="551" t="s">
        <v>407</v>
      </c>
      <c r="N133" s="551"/>
      <c r="O133" s="551"/>
      <c r="P133" s="551"/>
      <c r="Q133" s="551" t="s">
        <v>407</v>
      </c>
      <c r="R133" s="530"/>
      <c r="S133" s="341"/>
    </row>
    <row r="134" spans="2:19" x14ac:dyDescent="0.2">
      <c r="B134" s="550">
        <v>44730</v>
      </c>
      <c r="C134" s="526">
        <f t="shared" si="40"/>
        <v>3</v>
      </c>
      <c r="D134" s="551" t="s">
        <v>407</v>
      </c>
      <c r="E134" s="551" t="s">
        <v>407</v>
      </c>
      <c r="F134" s="551"/>
      <c r="G134" s="551" t="s">
        <v>596</v>
      </c>
      <c r="H134" s="551"/>
      <c r="I134" s="551"/>
      <c r="J134" s="551"/>
      <c r="K134" s="551"/>
      <c r="L134" s="551"/>
      <c r="M134" s="551" t="s">
        <v>596</v>
      </c>
      <c r="N134" s="551"/>
      <c r="O134" s="551"/>
      <c r="P134" s="551"/>
      <c r="Q134" s="551" t="s">
        <v>407</v>
      </c>
      <c r="R134" s="530"/>
    </row>
    <row r="135" spans="2:19" x14ac:dyDescent="0.2">
      <c r="B135" s="531" t="s">
        <v>610</v>
      </c>
      <c r="C135" s="526"/>
      <c r="D135" s="554">
        <f>IF(COUNTIF(D129:D133,$B$4)+COUNTIF(D124:D128,$B$4)&gt;0,COUNTIF(D129:D133,$B$4)+COUNTIF(D124:D128,$B$4),"")</f>
        <v>5</v>
      </c>
      <c r="E135" s="554">
        <f t="shared" ref="E135:R135" si="41">IF(COUNTIF(E129:E133,$B$4)+COUNTIF(E124:E128,$B$4)&gt;0,COUNTIF(E129:E133,$B$4)+COUNTIF(E124:E128,$B$4),"")</f>
        <v>6</v>
      </c>
      <c r="F135" s="554" t="str">
        <f t="shared" si="41"/>
        <v/>
      </c>
      <c r="G135" s="554">
        <f t="shared" si="41"/>
        <v>5</v>
      </c>
      <c r="H135" s="554" t="str">
        <f t="shared" si="41"/>
        <v/>
      </c>
      <c r="I135" s="554" t="str">
        <f t="shared" si="41"/>
        <v/>
      </c>
      <c r="J135" s="554" t="str">
        <f t="shared" si="41"/>
        <v/>
      </c>
      <c r="K135" s="554" t="str">
        <f t="shared" si="41"/>
        <v/>
      </c>
      <c r="L135" s="554" t="str">
        <f t="shared" si="41"/>
        <v/>
      </c>
      <c r="M135" s="554">
        <f t="shared" si="41"/>
        <v>5</v>
      </c>
      <c r="N135" s="554" t="str">
        <f t="shared" si="41"/>
        <v/>
      </c>
      <c r="O135" s="554" t="str">
        <f t="shared" si="41"/>
        <v/>
      </c>
      <c r="P135" s="554" t="str">
        <f t="shared" si="41"/>
        <v/>
      </c>
      <c r="Q135" s="554">
        <f t="shared" si="41"/>
        <v>6</v>
      </c>
      <c r="R135" s="555" t="str">
        <f t="shared" si="41"/>
        <v/>
      </c>
    </row>
    <row r="136" spans="2:19" x14ac:dyDescent="0.2">
      <c r="B136" s="590" t="s">
        <v>611</v>
      </c>
      <c r="C136" s="556">
        <f ca="1">IF(B133&lt;=TODAY(),SUM(D136:R136),"")</f>
        <v>3480</v>
      </c>
      <c r="D136" s="557">
        <f>IF(COUNTIF(D129:D133,$B$4)+COUNTIF(D124:D128,$B$4)&gt;0,(COUNTIF(D129:D133,$B$4)+COUNTIF(D124:D128,$B$4))*D$5,"")</f>
        <v>675</v>
      </c>
      <c r="E136" s="557">
        <f t="shared" ref="E136:R136" si="42">IF(COUNTIF(E129:E133,$B$4)+COUNTIF(E124:E128,$B$4)&gt;0,(COUNTIF(E129:E133,$B$4)+COUNTIF(E124:E128,$B$4))*E$5,"")</f>
        <v>990</v>
      </c>
      <c r="F136" s="557" t="str">
        <f t="shared" si="42"/>
        <v/>
      </c>
      <c r="G136" s="557">
        <f t="shared" si="42"/>
        <v>825</v>
      </c>
      <c r="H136" s="557" t="str">
        <f t="shared" si="42"/>
        <v/>
      </c>
      <c r="I136" s="557" t="str">
        <f t="shared" si="42"/>
        <v/>
      </c>
      <c r="J136" s="557" t="str">
        <f t="shared" si="42"/>
        <v/>
      </c>
      <c r="K136" s="557" t="str">
        <f t="shared" si="42"/>
        <v/>
      </c>
      <c r="L136" s="557" t="str">
        <f t="shared" si="42"/>
        <v/>
      </c>
      <c r="M136" s="557">
        <f t="shared" si="42"/>
        <v>450</v>
      </c>
      <c r="N136" s="557" t="str">
        <f t="shared" si="42"/>
        <v/>
      </c>
      <c r="O136" s="557" t="str">
        <f t="shared" si="42"/>
        <v/>
      </c>
      <c r="P136" s="557" t="str">
        <f t="shared" si="42"/>
        <v/>
      </c>
      <c r="Q136" s="557">
        <f t="shared" si="42"/>
        <v>540</v>
      </c>
      <c r="R136" s="558" t="str">
        <f t="shared" si="42"/>
        <v/>
      </c>
    </row>
    <row r="137" spans="2:19" x14ac:dyDescent="0.2">
      <c r="B137" s="559"/>
      <c r="C137" s="638">
        <f ca="1">IF(C136&lt;&gt;"",SUM(D137:R137)-C136,"")</f>
        <v>0</v>
      </c>
      <c r="D137" s="560">
        <v>675</v>
      </c>
      <c r="E137" s="560">
        <v>990</v>
      </c>
      <c r="F137" s="560"/>
      <c r="G137" s="560">
        <v>825</v>
      </c>
      <c r="H137" s="560"/>
      <c r="I137" s="560"/>
      <c r="J137" s="560"/>
      <c r="K137" s="560"/>
      <c r="L137" s="560"/>
      <c r="M137" s="560">
        <v>450</v>
      </c>
      <c r="N137" s="560"/>
      <c r="O137" s="560"/>
      <c r="P137" s="560"/>
      <c r="Q137" s="560">
        <v>540</v>
      </c>
      <c r="R137" s="560"/>
    </row>
    <row r="138" spans="2:19" x14ac:dyDescent="0.2">
      <c r="B138" s="619">
        <v>44731</v>
      </c>
      <c r="C138" s="620" t="str">
        <f t="shared" ref="C138:C143" si="43">IF(COUNTIF(D138:R138,$B$4)&gt;0,COUNTIF(D138:R138,$B$4),"")</f>
        <v/>
      </c>
      <c r="D138" s="597"/>
      <c r="E138" s="597"/>
      <c r="F138" s="597"/>
      <c r="G138" s="597"/>
      <c r="H138" s="597"/>
      <c r="I138" s="597"/>
      <c r="J138" s="597"/>
      <c r="K138" s="597"/>
      <c r="L138" s="597"/>
      <c r="M138" s="597"/>
      <c r="N138" s="597"/>
      <c r="O138" s="597"/>
      <c r="P138" s="597"/>
      <c r="Q138" s="597"/>
      <c r="R138" s="598"/>
    </row>
    <row r="139" spans="2:19" x14ac:dyDescent="0.2">
      <c r="B139" s="565">
        <v>44732</v>
      </c>
      <c r="C139" s="187">
        <f t="shared" si="43"/>
        <v>4</v>
      </c>
      <c r="D139" s="622" t="s">
        <v>407</v>
      </c>
      <c r="E139" s="622" t="s">
        <v>407</v>
      </c>
      <c r="F139" s="622"/>
      <c r="G139" s="622" t="s">
        <v>596</v>
      </c>
      <c r="H139" s="622"/>
      <c r="I139" s="623"/>
      <c r="J139" s="624"/>
      <c r="K139" s="624"/>
      <c r="L139" s="622"/>
      <c r="M139" s="622" t="s">
        <v>407</v>
      </c>
      <c r="N139" s="622"/>
      <c r="O139" s="626"/>
      <c r="P139" s="626"/>
      <c r="Q139" s="626" t="s">
        <v>407</v>
      </c>
      <c r="R139" s="623"/>
    </row>
    <row r="140" spans="2:19" x14ac:dyDescent="0.2">
      <c r="B140" s="550">
        <v>44733</v>
      </c>
      <c r="C140" s="526">
        <f t="shared" si="43"/>
        <v>3</v>
      </c>
      <c r="D140" s="552" t="s">
        <v>407</v>
      </c>
      <c r="E140" s="552" t="s">
        <v>407</v>
      </c>
      <c r="F140" s="552"/>
      <c r="G140" s="552" t="s">
        <v>601</v>
      </c>
      <c r="H140" s="552"/>
      <c r="I140" s="552"/>
      <c r="J140" s="552"/>
      <c r="K140" s="552"/>
      <c r="L140" s="552"/>
      <c r="M140" s="552" t="s">
        <v>601</v>
      </c>
      <c r="N140" s="552"/>
      <c r="O140" s="552"/>
      <c r="P140" s="552"/>
      <c r="Q140" s="552" t="s">
        <v>407</v>
      </c>
      <c r="R140" s="553"/>
    </row>
    <row r="141" spans="2:19" x14ac:dyDescent="0.2">
      <c r="B141" s="550">
        <v>44734</v>
      </c>
      <c r="C141" s="526">
        <f t="shared" si="43"/>
        <v>2</v>
      </c>
      <c r="D141" s="551" t="s">
        <v>626</v>
      </c>
      <c r="E141" s="551" t="s">
        <v>407</v>
      </c>
      <c r="F141" s="551"/>
      <c r="G141" s="551"/>
      <c r="H141" s="552"/>
      <c r="I141" s="552"/>
      <c r="J141" s="552"/>
      <c r="K141" s="552"/>
      <c r="L141" s="551"/>
      <c r="M141" s="551"/>
      <c r="N141" s="551"/>
      <c r="O141" s="552"/>
      <c r="P141" s="552"/>
      <c r="Q141" s="552" t="s">
        <v>407</v>
      </c>
      <c r="R141" s="553"/>
    </row>
    <row r="142" spans="2:19" x14ac:dyDescent="0.2">
      <c r="B142" s="582">
        <v>44735</v>
      </c>
      <c r="C142" s="526">
        <f t="shared" si="43"/>
        <v>3</v>
      </c>
      <c r="D142" s="552" t="s">
        <v>407</v>
      </c>
      <c r="E142" s="552" t="s">
        <v>407</v>
      </c>
      <c r="F142" s="552"/>
      <c r="G142" s="552"/>
      <c r="H142" s="552"/>
      <c r="I142" s="552"/>
      <c r="J142" s="552"/>
      <c r="K142" s="552"/>
      <c r="L142" s="552"/>
      <c r="M142" s="552"/>
      <c r="N142" s="552"/>
      <c r="O142" s="552"/>
      <c r="P142" s="552"/>
      <c r="Q142" s="552" t="s">
        <v>407</v>
      </c>
      <c r="R142" s="553"/>
    </row>
    <row r="143" spans="2:19" x14ac:dyDescent="0.2">
      <c r="B143" s="550">
        <v>44736</v>
      </c>
      <c r="C143" s="526">
        <f t="shared" si="43"/>
        <v>3</v>
      </c>
      <c r="D143" s="552" t="s">
        <v>407</v>
      </c>
      <c r="E143" s="552" t="s">
        <v>407</v>
      </c>
      <c r="F143" s="552"/>
      <c r="G143" s="552"/>
      <c r="H143" s="552"/>
      <c r="I143" s="552"/>
      <c r="J143" s="552"/>
      <c r="K143" s="552"/>
      <c r="L143" s="552"/>
      <c r="M143" s="552"/>
      <c r="N143" s="552"/>
      <c r="O143" s="552"/>
      <c r="P143" s="552"/>
      <c r="Q143" s="552" t="s">
        <v>407</v>
      </c>
      <c r="R143" s="553"/>
      <c r="S143" s="341"/>
    </row>
    <row r="144" spans="2:19" x14ac:dyDescent="0.2">
      <c r="B144" s="565">
        <v>44737</v>
      </c>
      <c r="C144" s="187">
        <f t="shared" ref="C144:C152" si="44">IF(COUNTIF(D144:R144,$B$4)&gt;0,COUNTIF(D144:R144,$B$4),"")</f>
        <v>3</v>
      </c>
      <c r="D144" s="552" t="s">
        <v>407</v>
      </c>
      <c r="E144" s="552" t="s">
        <v>407</v>
      </c>
      <c r="F144" s="552"/>
      <c r="G144" s="552"/>
      <c r="H144" s="552"/>
      <c r="I144" s="552"/>
      <c r="J144" s="552"/>
      <c r="K144" s="552"/>
      <c r="L144" s="552"/>
      <c r="M144" s="552"/>
      <c r="N144" s="552"/>
      <c r="O144" s="552"/>
      <c r="P144" s="552"/>
      <c r="Q144" s="552" t="s">
        <v>407</v>
      </c>
      <c r="R144" s="553"/>
    </row>
    <row r="145" spans="2:19" x14ac:dyDescent="0.2">
      <c r="B145" s="531" t="s">
        <v>610</v>
      </c>
      <c r="C145" s="526"/>
      <c r="D145" s="554">
        <f>IF(COUNTIF(D139:D143,$B$4)+COUNTIF(D134:D138,$B$4)&gt;0,COUNTIF(D139:D143,$B$4)+COUNTIF(D134:D138,$B$4),"")</f>
        <v>5</v>
      </c>
      <c r="E145" s="554">
        <f t="shared" ref="E145:R145" si="45">IF(COUNTIF(E139:E143,$B$4)+COUNTIF(E134:E138,$B$4)&gt;0,COUNTIF(E139:E143,$B$4)+COUNTIF(E134:E138,$B$4),"")</f>
        <v>6</v>
      </c>
      <c r="F145" s="554" t="str">
        <f t="shared" si="45"/>
        <v/>
      </c>
      <c r="G145" s="554" t="str">
        <f t="shared" si="45"/>
        <v/>
      </c>
      <c r="H145" s="554" t="str">
        <f t="shared" si="45"/>
        <v/>
      </c>
      <c r="I145" s="554" t="str">
        <f t="shared" si="45"/>
        <v/>
      </c>
      <c r="J145" s="554" t="str">
        <f t="shared" si="45"/>
        <v/>
      </c>
      <c r="K145" s="554" t="str">
        <f t="shared" si="45"/>
        <v/>
      </c>
      <c r="L145" s="554" t="str">
        <f t="shared" si="45"/>
        <v/>
      </c>
      <c r="M145" s="554">
        <f t="shared" si="45"/>
        <v>1</v>
      </c>
      <c r="N145" s="554" t="str">
        <f t="shared" si="45"/>
        <v/>
      </c>
      <c r="O145" s="554" t="str">
        <f t="shared" si="45"/>
        <v/>
      </c>
      <c r="P145" s="554" t="str">
        <f t="shared" si="45"/>
        <v/>
      </c>
      <c r="Q145" s="554">
        <f t="shared" si="45"/>
        <v>6</v>
      </c>
      <c r="R145" s="555" t="str">
        <f t="shared" si="45"/>
        <v/>
      </c>
    </row>
    <row r="146" spans="2:19" x14ac:dyDescent="0.2">
      <c r="B146" s="627" t="s">
        <v>611</v>
      </c>
      <c r="C146" s="556">
        <f ca="1">IF(B143&lt;=TODAY(),SUM(D146:R146),"")</f>
        <v>2295</v>
      </c>
      <c r="D146" s="557">
        <f>IF(COUNTIF(D139:D143,$B$4)+COUNTIF(D134:D138,$B$4)&gt;0,(COUNTIF(D139:D143,$B$4)+COUNTIF(D134:D138,$B$4))*D$5,"")</f>
        <v>675</v>
      </c>
      <c r="E146" s="557">
        <f t="shared" ref="E146:R146" si="46">IF(COUNTIF(E139:E143,$B$4)+COUNTIF(E134:E138,$B$4)&gt;0,(COUNTIF(E139:E143,$B$4)+COUNTIF(E134:E138,$B$4))*E$5,"")</f>
        <v>990</v>
      </c>
      <c r="F146" s="557" t="str">
        <f t="shared" si="46"/>
        <v/>
      </c>
      <c r="G146" s="557" t="str">
        <f t="shared" si="46"/>
        <v/>
      </c>
      <c r="H146" s="557" t="str">
        <f t="shared" si="46"/>
        <v/>
      </c>
      <c r="I146" s="557" t="str">
        <f t="shared" si="46"/>
        <v/>
      </c>
      <c r="J146" s="557" t="str">
        <f t="shared" si="46"/>
        <v/>
      </c>
      <c r="K146" s="557" t="str">
        <f t="shared" si="46"/>
        <v/>
      </c>
      <c r="L146" s="557" t="str">
        <f t="shared" si="46"/>
        <v/>
      </c>
      <c r="M146" s="557">
        <f t="shared" si="46"/>
        <v>90</v>
      </c>
      <c r="N146" s="557" t="str">
        <f t="shared" si="46"/>
        <v/>
      </c>
      <c r="O146" s="557" t="str">
        <f t="shared" si="46"/>
        <v/>
      </c>
      <c r="P146" s="557" t="str">
        <f t="shared" si="46"/>
        <v/>
      </c>
      <c r="Q146" s="557">
        <f t="shared" si="46"/>
        <v>540</v>
      </c>
      <c r="R146" s="558" t="str">
        <f t="shared" si="46"/>
        <v/>
      </c>
    </row>
    <row r="147" spans="2:19" x14ac:dyDescent="0.2">
      <c r="B147" s="628"/>
      <c r="C147" s="638">
        <f ca="1">IF(C146&lt;&gt;"",SUM(D147:R147)-C146,"")</f>
        <v>0</v>
      </c>
      <c r="D147" s="560">
        <v>675</v>
      </c>
      <c r="E147" s="560">
        <v>990</v>
      </c>
      <c r="F147" s="560"/>
      <c r="G147" s="560"/>
      <c r="H147" s="560"/>
      <c r="I147" s="560"/>
      <c r="J147" s="560"/>
      <c r="K147" s="560"/>
      <c r="L147" s="560"/>
      <c r="M147" s="560">
        <v>90</v>
      </c>
      <c r="N147" s="560"/>
      <c r="O147" s="560"/>
      <c r="P147" s="560"/>
      <c r="Q147" s="560">
        <v>540</v>
      </c>
      <c r="R147" s="560"/>
    </row>
    <row r="148" spans="2:19" x14ac:dyDescent="0.2">
      <c r="B148" s="604">
        <v>44738</v>
      </c>
      <c r="C148" s="629" t="str">
        <f t="shared" si="44"/>
        <v/>
      </c>
      <c r="D148" s="630"/>
      <c r="E148" s="630"/>
      <c r="F148" s="630"/>
      <c r="G148" s="630"/>
      <c r="H148" s="630"/>
      <c r="I148" s="630"/>
      <c r="J148" s="630"/>
      <c r="K148" s="630"/>
      <c r="L148" s="630"/>
      <c r="M148" s="630"/>
      <c r="N148" s="630"/>
      <c r="O148" s="630"/>
      <c r="P148" s="630"/>
      <c r="Q148" s="630"/>
      <c r="R148" s="631"/>
    </row>
    <row r="149" spans="2:19" x14ac:dyDescent="0.2">
      <c r="B149" s="565">
        <v>44739</v>
      </c>
      <c r="C149" s="187">
        <f t="shared" si="44"/>
        <v>4</v>
      </c>
      <c r="D149" s="622" t="s">
        <v>407</v>
      </c>
      <c r="E149" s="622" t="s">
        <v>407</v>
      </c>
      <c r="F149" s="622"/>
      <c r="G149" s="622"/>
      <c r="H149" s="622"/>
      <c r="I149" s="623"/>
      <c r="J149" s="624"/>
      <c r="K149" s="624"/>
      <c r="L149" s="622" t="s">
        <v>407</v>
      </c>
      <c r="M149" s="622"/>
      <c r="N149" s="622"/>
      <c r="O149" s="626"/>
      <c r="P149" s="626"/>
      <c r="Q149" s="626" t="s">
        <v>407</v>
      </c>
      <c r="R149" s="623"/>
    </row>
    <row r="150" spans="2:19" x14ac:dyDescent="0.2">
      <c r="B150" s="550">
        <v>44740</v>
      </c>
      <c r="C150" s="526">
        <f t="shared" si="44"/>
        <v>4</v>
      </c>
      <c r="D150" s="552" t="s">
        <v>407</v>
      </c>
      <c r="E150" s="552" t="s">
        <v>407</v>
      </c>
      <c r="F150" s="552"/>
      <c r="G150" s="552"/>
      <c r="H150" s="552"/>
      <c r="I150" s="552"/>
      <c r="J150" s="552"/>
      <c r="K150" s="552"/>
      <c r="L150" s="552" t="s">
        <v>407</v>
      </c>
      <c r="M150" s="552"/>
      <c r="N150" s="552"/>
      <c r="O150" s="552"/>
      <c r="P150" s="552"/>
      <c r="Q150" s="552" t="s">
        <v>407</v>
      </c>
      <c r="R150" s="553"/>
    </row>
    <row r="151" spans="2:19" x14ac:dyDescent="0.2">
      <c r="B151" s="550">
        <v>44741</v>
      </c>
      <c r="C151" s="526">
        <f t="shared" si="44"/>
        <v>4</v>
      </c>
      <c r="D151" s="552" t="s">
        <v>407</v>
      </c>
      <c r="E151" s="552" t="s">
        <v>407</v>
      </c>
      <c r="F151" s="552"/>
      <c r="G151" s="552"/>
      <c r="H151" s="552"/>
      <c r="I151" s="552"/>
      <c r="J151" s="552"/>
      <c r="K151" s="552"/>
      <c r="L151" s="552" t="s">
        <v>407</v>
      </c>
      <c r="M151" s="552"/>
      <c r="N151" s="552"/>
      <c r="O151" s="552"/>
      <c r="P151" s="552"/>
      <c r="Q151" s="552" t="s">
        <v>407</v>
      </c>
      <c r="R151" s="553"/>
    </row>
    <row r="152" spans="2:19" x14ac:dyDescent="0.2">
      <c r="B152" s="550">
        <v>44742</v>
      </c>
      <c r="C152" s="526">
        <f t="shared" si="44"/>
        <v>4</v>
      </c>
      <c r="D152" s="551" t="s">
        <v>407</v>
      </c>
      <c r="E152" s="552" t="s">
        <v>407</v>
      </c>
      <c r="F152" s="552"/>
      <c r="G152" s="552"/>
      <c r="H152" s="552"/>
      <c r="I152" s="552"/>
      <c r="J152" s="552"/>
      <c r="K152" s="552"/>
      <c r="L152" s="552" t="s">
        <v>407</v>
      </c>
      <c r="M152" s="552"/>
      <c r="N152" s="552"/>
      <c r="O152" s="552"/>
      <c r="P152" s="552"/>
      <c r="Q152" s="552" t="s">
        <v>407</v>
      </c>
      <c r="R152" s="553"/>
    </row>
    <row r="153" spans="2:19" x14ac:dyDescent="0.2">
      <c r="B153" s="602"/>
      <c r="C153" s="570"/>
      <c r="D153" s="554">
        <f>IF(COUNTIF(D149:D152,$B$4)+COUNTIF(D144:D148,$B$4)&gt;0,COUNTIF(D149:D152,$B$4)+COUNTIF(D144:D148,$B$4),"")</f>
        <v>5</v>
      </c>
      <c r="E153" s="554">
        <f t="shared" ref="E153:R153" si="47">IF(COUNTIF(E149:E152,$B$4)+COUNTIF(E144:E148,$B$4)&gt;0,COUNTIF(E149:E152,$B$4)+COUNTIF(E144:E148,$B$4),"")</f>
        <v>5</v>
      </c>
      <c r="F153" s="554" t="str">
        <f t="shared" si="47"/>
        <v/>
      </c>
      <c r="G153" s="554" t="str">
        <f t="shared" si="47"/>
        <v/>
      </c>
      <c r="H153" s="554" t="str">
        <f t="shared" si="47"/>
        <v/>
      </c>
      <c r="I153" s="554" t="str">
        <f t="shared" si="47"/>
        <v/>
      </c>
      <c r="J153" s="554" t="str">
        <f t="shared" si="47"/>
        <v/>
      </c>
      <c r="K153" s="554" t="str">
        <f t="shared" si="47"/>
        <v/>
      </c>
      <c r="L153" s="554">
        <f t="shared" si="47"/>
        <v>4</v>
      </c>
      <c r="M153" s="554" t="str">
        <f t="shared" si="47"/>
        <v/>
      </c>
      <c r="N153" s="554" t="str">
        <f t="shared" si="47"/>
        <v/>
      </c>
      <c r="O153" s="554" t="str">
        <f t="shared" si="47"/>
        <v/>
      </c>
      <c r="P153" s="554" t="str">
        <f t="shared" si="47"/>
        <v/>
      </c>
      <c r="Q153" s="554">
        <f t="shared" si="47"/>
        <v>5</v>
      </c>
      <c r="R153" s="554" t="str">
        <f t="shared" si="47"/>
        <v/>
      </c>
    </row>
    <row r="154" spans="2:19" ht="13.5" thickBot="1" x14ac:dyDescent="0.25">
      <c r="B154" s="599" t="s">
        <v>624</v>
      </c>
      <c r="C154" s="600">
        <f>SUM(D154:R154)</f>
        <v>12780</v>
      </c>
      <c r="D154" s="573">
        <f>IFERROR(IF(SUM(D116,D126,D136,D146)&gt;0,SUM(D116,D126,D136,D146),""),"")</f>
        <v>3105</v>
      </c>
      <c r="E154" s="573">
        <f t="shared" ref="E154:R154" si="48">IFERROR(IF(SUM(E116,E126,E136,E146)&gt;0,SUM(E116,E126,E136,E146),""),"")</f>
        <v>3795</v>
      </c>
      <c r="F154" s="573">
        <f t="shared" si="48"/>
        <v>330</v>
      </c>
      <c r="G154" s="573">
        <f t="shared" si="48"/>
        <v>2310</v>
      </c>
      <c r="H154" s="573" t="str">
        <f t="shared" si="48"/>
        <v/>
      </c>
      <c r="I154" s="573" t="str">
        <f t="shared" si="48"/>
        <v/>
      </c>
      <c r="J154" s="573" t="str">
        <f t="shared" si="48"/>
        <v/>
      </c>
      <c r="K154" s="573" t="str">
        <f t="shared" si="48"/>
        <v/>
      </c>
      <c r="L154" s="573">
        <f t="shared" si="48"/>
        <v>540</v>
      </c>
      <c r="M154" s="573">
        <f t="shared" si="48"/>
        <v>990</v>
      </c>
      <c r="N154" s="573">
        <f t="shared" si="48"/>
        <v>180</v>
      </c>
      <c r="O154" s="573">
        <f t="shared" si="48"/>
        <v>450</v>
      </c>
      <c r="P154" s="573" t="str">
        <f t="shared" si="48"/>
        <v/>
      </c>
      <c r="Q154" s="573">
        <f t="shared" si="48"/>
        <v>1080</v>
      </c>
      <c r="R154" s="574" t="str">
        <f t="shared" si="48"/>
        <v/>
      </c>
      <c r="S154" s="341"/>
    </row>
    <row r="155" spans="2:19" x14ac:dyDescent="0.2"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75"/>
      <c r="P155" s="575"/>
      <c r="Q155" s="575"/>
      <c r="R155" s="575"/>
      <c r="S155" s="341"/>
    </row>
    <row r="156" spans="2:19" ht="13.5" thickBot="1" x14ac:dyDescent="0.25"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75"/>
      <c r="P156" s="575"/>
      <c r="Q156" s="575"/>
      <c r="R156" s="575"/>
    </row>
    <row r="157" spans="2:19" ht="18" x14ac:dyDescent="0.25">
      <c r="B157" s="735" t="s">
        <v>630</v>
      </c>
      <c r="C157" s="736"/>
      <c r="D157" s="736"/>
      <c r="E157" s="736"/>
      <c r="F157" s="736"/>
      <c r="G157" s="736"/>
      <c r="H157" s="736"/>
      <c r="I157" s="736"/>
      <c r="J157" s="736"/>
      <c r="K157" s="736"/>
      <c r="L157" s="736"/>
      <c r="M157" s="736"/>
      <c r="N157" s="736"/>
      <c r="O157" s="736"/>
      <c r="P157" s="736"/>
      <c r="Q157" s="736"/>
      <c r="R157" s="737"/>
    </row>
    <row r="158" spans="2:19" x14ac:dyDescent="0.2">
      <c r="B158" s="538" t="s">
        <v>594</v>
      </c>
      <c r="C158" s="534"/>
      <c r="D158" s="533"/>
      <c r="E158" s="534"/>
      <c r="F158" s="533"/>
      <c r="G158" s="533"/>
      <c r="H158" s="534"/>
      <c r="I158" s="534"/>
      <c r="J158" s="533"/>
      <c r="K158" s="533"/>
      <c r="L158" s="533"/>
      <c r="M158" s="533"/>
      <c r="N158" s="534"/>
      <c r="O158" s="534"/>
      <c r="P158" s="534"/>
      <c r="Q158" s="534"/>
      <c r="R158" s="535"/>
    </row>
    <row r="159" spans="2:19" x14ac:dyDescent="0.2">
      <c r="B159" s="538" t="s">
        <v>609</v>
      </c>
      <c r="C159" s="534"/>
      <c r="D159" s="542">
        <f t="shared" ref="D159:E159" si="49">IF(SUM(D163,D173,D183,D193,D203)-IF(D153="",0,0)&gt;0,SUM(D163,D173,D183,D193,D203)-IF(D153&gt;0,D153,""),"")</f>
        <v>8</v>
      </c>
      <c r="E159" s="542">
        <f t="shared" si="49"/>
        <v>8</v>
      </c>
      <c r="F159" s="542" t="str">
        <f>IF(SUM(F163,F173,F183,F193,F203)-IF(F153="",0,0)&gt;0,SUM(F163,F173,F183,F193,F203)-IF(F153&gt;0,F153,""),"")</f>
        <v/>
      </c>
      <c r="G159" s="542" t="str">
        <f t="shared" ref="G159:R159" si="50">IF(SUM(G163,G173,G183,G193,G203)-IF(G153="",0,0)&gt;0,SUM(G163,G173,G183,G193,G203)-IF(G153&gt;0,G153,""),"")</f>
        <v/>
      </c>
      <c r="H159" s="542" t="str">
        <f t="shared" si="50"/>
        <v/>
      </c>
      <c r="I159" s="542" t="str">
        <f t="shared" si="50"/>
        <v/>
      </c>
      <c r="J159" s="542" t="str">
        <f t="shared" si="50"/>
        <v/>
      </c>
      <c r="K159" s="542" t="str">
        <f t="shared" si="50"/>
        <v/>
      </c>
      <c r="L159" s="542">
        <f t="shared" si="50"/>
        <v>7</v>
      </c>
      <c r="M159" s="542" t="str">
        <f t="shared" si="50"/>
        <v/>
      </c>
      <c r="N159" s="542" t="str">
        <f t="shared" si="50"/>
        <v/>
      </c>
      <c r="O159" s="542" t="str">
        <f t="shared" si="50"/>
        <v/>
      </c>
      <c r="P159" s="542" t="str">
        <f t="shared" si="50"/>
        <v/>
      </c>
      <c r="Q159" s="542">
        <f t="shared" si="50"/>
        <v>6</v>
      </c>
      <c r="R159" s="542" t="str">
        <f t="shared" si="50"/>
        <v/>
      </c>
    </row>
    <row r="160" spans="2:19" x14ac:dyDescent="0.2">
      <c r="B160" s="543" t="s">
        <v>623</v>
      </c>
      <c r="C160" s="534"/>
      <c r="D160" s="542" t="str">
        <f>IF(COUNTIF(D161:D185,'Dados de Físico Semanal'!$C$2)&gt;0,COUNTIF(D161:D185,'Dados de Físico Semanal'!$C$2),"")</f>
        <v/>
      </c>
      <c r="E160" s="542" t="str">
        <f>IF(COUNTIF(E161:E185,'Dados de Físico Semanal'!$C$2)&gt;0,COUNTIF(E161:E185,'Dados de Físico Semanal'!$C$2),"")</f>
        <v/>
      </c>
      <c r="F160" s="542" t="str">
        <f>IF(COUNTIF(F161:F185,'Dados de Físico Semanal'!$C$2)&gt;0,COUNTIF(F161:F185,'Dados de Físico Semanal'!$C$2),"")</f>
        <v/>
      </c>
      <c r="G160" s="542" t="str">
        <f>IF(COUNTIF(G161:G185,'Dados de Físico Semanal'!$C$2)&gt;0,COUNTIF(G161:G185,'Dados de Físico Semanal'!$C$2),"")</f>
        <v/>
      </c>
      <c r="H160" s="542" t="str">
        <f>IF(COUNTIF(H161:H185,'Dados de Físico Semanal'!$C$2)&gt;0,COUNTIF(H161:H185,'Dados de Físico Semanal'!$C$2),"")</f>
        <v/>
      </c>
      <c r="I160" s="542" t="str">
        <f>IF(COUNTIF(I161:I185,'Dados de Físico Semanal'!$C$2)&gt;0,COUNTIF(I161:I185,'Dados de Físico Semanal'!$C$2),"")</f>
        <v/>
      </c>
      <c r="J160" s="542" t="str">
        <f>IF(COUNTIF(J161:J185,'Dados de Físico Semanal'!$C$2)&gt;0,COUNTIF(J161:J185,'Dados de Físico Semanal'!$C$2),"")</f>
        <v/>
      </c>
      <c r="K160" s="542" t="str">
        <f>IF(COUNTIF(K161:K185,'Dados de Físico Semanal'!$C$2)&gt;0,COUNTIF(K161:K185,'Dados de Físico Semanal'!$C$2),"")</f>
        <v/>
      </c>
      <c r="L160" s="542">
        <f>IF(COUNTIF(L161:L185,'Dados de Físico Semanal'!$C$2)&gt;0,COUNTIF(L161:L185,'Dados de Físico Semanal'!$C$2),"")</f>
        <v>1</v>
      </c>
      <c r="M160" s="542" t="str">
        <f>IF(COUNTIF(M161:M185,'Dados de Físico Semanal'!$C$2)&gt;0,COUNTIF(M161:M185,'Dados de Físico Semanal'!$C$2),"")</f>
        <v/>
      </c>
      <c r="N160" s="542" t="str">
        <f>IF(COUNTIF(N161:N185,'Dados de Físico Semanal'!$C$2)&gt;0,COUNTIF(N161:N185,'Dados de Físico Semanal'!$C$2),"")</f>
        <v/>
      </c>
      <c r="O160" s="542" t="str">
        <f>IF(COUNTIF(O161:O185,'Dados de Físico Semanal'!$C$2)&gt;0,COUNTIF(O161:O185,'Dados de Físico Semanal'!$C$2),"")</f>
        <v/>
      </c>
      <c r="P160" s="542" t="str">
        <f>IF(COUNTIF(P161:P185,'Dados de Físico Semanal'!$C$2)&gt;0,COUNTIF(P161:P185,'Dados de Físico Semanal'!$C$2),"")</f>
        <v/>
      </c>
      <c r="Q160" s="542">
        <f>IF(COUNTIF(Q161:Q185,'Dados de Físico Semanal'!$C$2)&gt;0,COUNTIF(Q161:Q185,'Dados de Físico Semanal'!$C$2),"")</f>
        <v>2</v>
      </c>
      <c r="R160" s="542" t="str">
        <f>IF(COUNTIF(R161:R185,'Dados de Físico Semanal'!$C$2)&gt;0,COUNTIF(R161:R185,'Dados de Físico Semanal'!$C$2),"")</f>
        <v/>
      </c>
    </row>
    <row r="161" spans="2:18" x14ac:dyDescent="0.2">
      <c r="B161" s="550">
        <v>44743</v>
      </c>
      <c r="C161" s="526">
        <f t="shared" ref="C161:C162" si="51">IF(COUNTIF(D161:R161,$B$4)&gt;0,COUNTIF(D161:R161,$B$4),"")</f>
        <v>3</v>
      </c>
      <c r="D161" s="552" t="s">
        <v>407</v>
      </c>
      <c r="E161" s="552" t="s">
        <v>407</v>
      </c>
      <c r="F161" s="552"/>
      <c r="G161" s="552"/>
      <c r="H161" s="552"/>
      <c r="I161" s="552"/>
      <c r="J161" s="552"/>
      <c r="K161" s="552"/>
      <c r="L161" s="552" t="s">
        <v>407</v>
      </c>
      <c r="M161" s="552"/>
      <c r="N161" s="552"/>
      <c r="O161" s="552"/>
      <c r="P161" s="552"/>
      <c r="Q161" s="552" t="s">
        <v>596</v>
      </c>
      <c r="R161" s="553"/>
    </row>
    <row r="162" spans="2:18" x14ac:dyDescent="0.2">
      <c r="B162" s="550">
        <v>44744</v>
      </c>
      <c r="C162" s="187">
        <f t="shared" si="51"/>
        <v>3</v>
      </c>
      <c r="D162" s="552" t="s">
        <v>407</v>
      </c>
      <c r="E162" s="552" t="s">
        <v>407</v>
      </c>
      <c r="F162" s="552"/>
      <c r="G162" s="552"/>
      <c r="H162" s="552"/>
      <c r="I162" s="552"/>
      <c r="J162" s="552"/>
      <c r="K162" s="552"/>
      <c r="L162" s="552" t="s">
        <v>407</v>
      </c>
      <c r="M162" s="552"/>
      <c r="N162" s="552"/>
      <c r="O162" s="552"/>
      <c r="P162" s="552"/>
      <c r="Q162" s="552" t="s">
        <v>596</v>
      </c>
      <c r="R162" s="553"/>
    </row>
    <row r="163" spans="2:18" x14ac:dyDescent="0.2">
      <c r="B163" s="603" t="s">
        <v>610</v>
      </c>
      <c r="C163" s="526"/>
      <c r="D163" s="554">
        <f>IF(COUNTIF(D149:D152,$B$4)+COUNTIF(D161:D161,$B$4)+COUNTIF(D144:D148,$B$4)&gt;0,COUNTIF(D149:D152,$B$4)+COUNTIF(D161:D161,$B$4)+COUNTIF(D144:D148,$B$4),"")</f>
        <v>6</v>
      </c>
      <c r="E163" s="554">
        <f t="shared" ref="E163:R163" si="52">IF(COUNTIF(E149:E152,$B$4)+COUNTIF(E161:E161,$B$4)+COUNTIF(E144:E148,$B$4)&gt;0,COUNTIF(E149:E152,$B$4)+COUNTIF(E161:E161,$B$4)+COUNTIF(E144:E148,$B$4),"")</f>
        <v>6</v>
      </c>
      <c r="F163" s="554" t="str">
        <f t="shared" si="52"/>
        <v/>
      </c>
      <c r="G163" s="554" t="str">
        <f t="shared" si="52"/>
        <v/>
      </c>
      <c r="H163" s="554" t="str">
        <f t="shared" si="52"/>
        <v/>
      </c>
      <c r="I163" s="554" t="str">
        <f t="shared" si="52"/>
        <v/>
      </c>
      <c r="J163" s="554" t="str">
        <f t="shared" si="52"/>
        <v/>
      </c>
      <c r="K163" s="554" t="str">
        <f t="shared" si="52"/>
        <v/>
      </c>
      <c r="L163" s="554">
        <f t="shared" si="52"/>
        <v>5</v>
      </c>
      <c r="M163" s="554" t="str">
        <f t="shared" si="52"/>
        <v/>
      </c>
      <c r="N163" s="554" t="str">
        <f t="shared" si="52"/>
        <v/>
      </c>
      <c r="O163" s="554" t="str">
        <f t="shared" si="52"/>
        <v/>
      </c>
      <c r="P163" s="554" t="str">
        <f t="shared" si="52"/>
        <v/>
      </c>
      <c r="Q163" s="554">
        <f t="shared" si="52"/>
        <v>5</v>
      </c>
      <c r="R163" s="554" t="str">
        <f t="shared" si="52"/>
        <v/>
      </c>
    </row>
    <row r="164" spans="2:18" x14ac:dyDescent="0.2">
      <c r="B164" s="590" t="s">
        <v>611</v>
      </c>
      <c r="C164" s="556">
        <f ca="1">IF(B162&lt;=TODAY(),SUM(D164:R164),"")</f>
        <v>2700</v>
      </c>
      <c r="D164" s="554">
        <f t="shared" ref="D164:R164" si="53">IF(COUNTIF(D149:D152,$B$4)+COUNTIF(D161,$B$4)+COUNTIF(D144:D148,$B$4)&gt;0,(COUNTIF(D149:D152,$B$4)+COUNTIF(D161,$B$4)+COUNTIF(D144:D148,$B$4))*D5,"")</f>
        <v>810</v>
      </c>
      <c r="E164" s="554">
        <f t="shared" si="53"/>
        <v>990</v>
      </c>
      <c r="F164" s="554" t="str">
        <f t="shared" si="53"/>
        <v/>
      </c>
      <c r="G164" s="554" t="str">
        <f t="shared" si="53"/>
        <v/>
      </c>
      <c r="H164" s="554" t="str">
        <f t="shared" si="53"/>
        <v/>
      </c>
      <c r="I164" s="554" t="str">
        <f t="shared" si="53"/>
        <v/>
      </c>
      <c r="J164" s="554" t="str">
        <f t="shared" si="53"/>
        <v/>
      </c>
      <c r="K164" s="554" t="str">
        <f t="shared" si="53"/>
        <v/>
      </c>
      <c r="L164" s="554">
        <f t="shared" si="53"/>
        <v>450</v>
      </c>
      <c r="M164" s="554" t="str">
        <f t="shared" si="53"/>
        <v/>
      </c>
      <c r="N164" s="554" t="str">
        <f t="shared" si="53"/>
        <v/>
      </c>
      <c r="O164" s="554" t="str">
        <f t="shared" si="53"/>
        <v/>
      </c>
      <c r="P164" s="554" t="str">
        <f t="shared" si="53"/>
        <v/>
      </c>
      <c r="Q164" s="554">
        <f t="shared" si="53"/>
        <v>450</v>
      </c>
      <c r="R164" s="554" t="str">
        <f t="shared" si="53"/>
        <v/>
      </c>
    </row>
    <row r="165" spans="2:18" x14ac:dyDescent="0.2">
      <c r="B165" s="559"/>
      <c r="C165" s="638">
        <f ca="1">IF(C164&lt;&gt;"",SUM(D165:R165)-C164,"")</f>
        <v>-2700</v>
      </c>
      <c r="D165" s="560"/>
      <c r="E165" s="560"/>
      <c r="F165" s="560"/>
      <c r="G165" s="560"/>
      <c r="H165" s="560"/>
      <c r="I165" s="560"/>
      <c r="J165" s="560"/>
      <c r="K165" s="560"/>
      <c r="L165" s="560"/>
      <c r="M165" s="560"/>
      <c r="N165" s="560"/>
      <c r="O165" s="560"/>
      <c r="P165" s="560"/>
      <c r="Q165" s="560"/>
      <c r="R165" s="560"/>
    </row>
    <row r="166" spans="2:18" x14ac:dyDescent="0.2">
      <c r="B166" s="619">
        <v>44745</v>
      </c>
      <c r="C166" s="620" t="str">
        <f t="shared" ref="C166:C172" si="54">IF(COUNTIF(D166:R166,$B$4)&gt;0,COUNTIF(D166:R166,$B$4),"")</f>
        <v/>
      </c>
      <c r="D166" s="597"/>
      <c r="E166" s="597"/>
      <c r="F166" s="597"/>
      <c r="G166" s="597"/>
      <c r="H166" s="597"/>
      <c r="I166" s="597"/>
      <c r="J166" s="597"/>
      <c r="K166" s="597"/>
      <c r="L166" s="597"/>
      <c r="M166" s="597"/>
      <c r="N166" s="597"/>
      <c r="O166" s="597"/>
      <c r="P166" s="597"/>
      <c r="Q166" s="597"/>
      <c r="R166" s="598"/>
    </row>
    <row r="167" spans="2:18" x14ac:dyDescent="0.2">
      <c r="B167" s="550">
        <v>44746</v>
      </c>
      <c r="C167" s="605">
        <f t="shared" si="54"/>
        <v>3</v>
      </c>
      <c r="D167" s="610" t="s">
        <v>407</v>
      </c>
      <c r="E167" s="610" t="s">
        <v>407</v>
      </c>
      <c r="F167" s="610"/>
      <c r="G167" s="610"/>
      <c r="H167" s="610"/>
      <c r="I167" s="610"/>
      <c r="J167" s="610"/>
      <c r="K167" s="610"/>
      <c r="L167" s="610" t="s">
        <v>596</v>
      </c>
      <c r="M167" s="610"/>
      <c r="N167" s="610"/>
      <c r="O167" s="610"/>
      <c r="P167" s="610"/>
      <c r="Q167" s="610" t="s">
        <v>407</v>
      </c>
      <c r="R167" s="610"/>
    </row>
    <row r="168" spans="2:18" x14ac:dyDescent="0.2">
      <c r="B168" s="550">
        <v>44747</v>
      </c>
      <c r="C168" s="526">
        <f t="shared" si="54"/>
        <v>4</v>
      </c>
      <c r="D168" s="552" t="s">
        <v>407</v>
      </c>
      <c r="E168" s="552" t="s">
        <v>407</v>
      </c>
      <c r="F168" s="552"/>
      <c r="G168" s="552"/>
      <c r="H168" s="552"/>
      <c r="I168" s="552"/>
      <c r="J168" s="552"/>
      <c r="K168" s="552"/>
      <c r="L168" s="552" t="s">
        <v>407</v>
      </c>
      <c r="M168" s="552"/>
      <c r="N168" s="552"/>
      <c r="O168" s="552"/>
      <c r="P168" s="552"/>
      <c r="Q168" s="552" t="s">
        <v>407</v>
      </c>
      <c r="R168" s="552"/>
    </row>
    <row r="169" spans="2:18" x14ac:dyDescent="0.2">
      <c r="B169" s="550">
        <v>44748</v>
      </c>
      <c r="C169" s="526">
        <f t="shared" si="54"/>
        <v>4</v>
      </c>
      <c r="D169" s="552" t="s">
        <v>407</v>
      </c>
      <c r="E169" s="552" t="s">
        <v>407</v>
      </c>
      <c r="F169" s="552"/>
      <c r="G169" s="552"/>
      <c r="H169" s="552"/>
      <c r="I169" s="552"/>
      <c r="J169" s="552"/>
      <c r="K169" s="552"/>
      <c r="L169" s="552" t="s">
        <v>407</v>
      </c>
      <c r="M169" s="552"/>
      <c r="N169" s="552"/>
      <c r="O169" s="552"/>
      <c r="P169" s="552"/>
      <c r="Q169" s="552" t="s">
        <v>407</v>
      </c>
      <c r="R169" s="552"/>
    </row>
    <row r="170" spans="2:18" x14ac:dyDescent="0.2">
      <c r="B170" s="550">
        <v>44749</v>
      </c>
      <c r="C170" s="526">
        <f t="shared" si="54"/>
        <v>4</v>
      </c>
      <c r="D170" s="552" t="s">
        <v>407</v>
      </c>
      <c r="E170" s="552" t="s">
        <v>407</v>
      </c>
      <c r="F170" s="552"/>
      <c r="G170" s="552"/>
      <c r="H170" s="552"/>
      <c r="I170" s="552"/>
      <c r="J170" s="552"/>
      <c r="K170" s="552"/>
      <c r="L170" s="552" t="s">
        <v>407</v>
      </c>
      <c r="M170" s="552"/>
      <c r="N170" s="552"/>
      <c r="O170" s="552"/>
      <c r="P170" s="552"/>
      <c r="Q170" s="552" t="s">
        <v>407</v>
      </c>
      <c r="R170" s="552"/>
    </row>
    <row r="171" spans="2:18" x14ac:dyDescent="0.2">
      <c r="B171" s="550">
        <v>44750</v>
      </c>
      <c r="C171" s="526">
        <f t="shared" si="54"/>
        <v>4</v>
      </c>
      <c r="D171" s="552" t="s">
        <v>407</v>
      </c>
      <c r="E171" s="552" t="s">
        <v>407</v>
      </c>
      <c r="F171" s="552"/>
      <c r="G171" s="552"/>
      <c r="H171" s="552"/>
      <c r="I171" s="552"/>
      <c r="J171" s="552"/>
      <c r="K171" s="552"/>
      <c r="L171" s="552" t="s">
        <v>407</v>
      </c>
      <c r="M171" s="552"/>
      <c r="N171" s="552"/>
      <c r="O171" s="552"/>
      <c r="P171" s="552"/>
      <c r="Q171" s="552" t="s">
        <v>407</v>
      </c>
      <c r="R171" s="552"/>
    </row>
    <row r="172" spans="2:18" x14ac:dyDescent="0.2">
      <c r="B172" s="550">
        <v>44751</v>
      </c>
      <c r="C172" s="526">
        <f t="shared" si="54"/>
        <v>4</v>
      </c>
      <c r="D172" s="552" t="s">
        <v>407</v>
      </c>
      <c r="E172" s="552" t="s">
        <v>407</v>
      </c>
      <c r="F172" s="552"/>
      <c r="G172" s="552"/>
      <c r="H172" s="552"/>
      <c r="I172" s="552"/>
      <c r="J172" s="552"/>
      <c r="K172" s="552"/>
      <c r="L172" s="552" t="s">
        <v>407</v>
      </c>
      <c r="M172" s="552"/>
      <c r="N172" s="552"/>
      <c r="O172" s="552"/>
      <c r="P172" s="552"/>
      <c r="Q172" s="552" t="s">
        <v>407</v>
      </c>
      <c r="R172" s="552"/>
    </row>
    <row r="173" spans="2:18" x14ac:dyDescent="0.2">
      <c r="B173" s="603" t="s">
        <v>610</v>
      </c>
      <c r="C173" s="526"/>
      <c r="D173" s="554">
        <f>IF(COUNTIF(D167:D171,$B$4)+COUNTIF(D162:D166,$B$4)&gt;0,COUNTIF(D167:D171,$B$4)+COUNTIF(D162:D166,$B$4),"")</f>
        <v>6</v>
      </c>
      <c r="E173" s="554">
        <f t="shared" ref="E173:R173" si="55">IF(COUNTIF(E167:E171,$B$4)+COUNTIF(E162:E166,$B$4)&gt;0,COUNTIF(E167:E171,$B$4)+COUNTIF(E162:E166,$B$4),"")</f>
        <v>6</v>
      </c>
      <c r="F173" s="554" t="str">
        <f t="shared" si="55"/>
        <v/>
      </c>
      <c r="G173" s="554" t="str">
        <f t="shared" si="55"/>
        <v/>
      </c>
      <c r="H173" s="554" t="str">
        <f t="shared" si="55"/>
        <v/>
      </c>
      <c r="I173" s="554" t="str">
        <f t="shared" si="55"/>
        <v/>
      </c>
      <c r="J173" s="554" t="str">
        <f t="shared" si="55"/>
        <v/>
      </c>
      <c r="K173" s="554" t="str">
        <f t="shared" si="55"/>
        <v/>
      </c>
      <c r="L173" s="554">
        <f t="shared" si="55"/>
        <v>5</v>
      </c>
      <c r="M173" s="554" t="str">
        <f t="shared" si="55"/>
        <v/>
      </c>
      <c r="N173" s="554" t="str">
        <f t="shared" si="55"/>
        <v/>
      </c>
      <c r="O173" s="554" t="str">
        <f t="shared" si="55"/>
        <v/>
      </c>
      <c r="P173" s="554" t="str">
        <f t="shared" si="55"/>
        <v/>
      </c>
      <c r="Q173" s="554">
        <f t="shared" si="55"/>
        <v>5</v>
      </c>
      <c r="R173" s="554" t="str">
        <f t="shared" si="55"/>
        <v/>
      </c>
    </row>
    <row r="174" spans="2:18" x14ac:dyDescent="0.2">
      <c r="B174" s="590" t="s">
        <v>611</v>
      </c>
      <c r="C174" s="556">
        <f ca="1">IF(B172&lt;=TODAY(),SUM(D174:R174),"")</f>
        <v>2700</v>
      </c>
      <c r="D174" s="557">
        <f>IF(COUNTIF(D167:D171,$B$4)+COUNTIF(D162:D166,$B$4)&gt;0,(COUNTIF(D167:D171,$B$4)+COUNTIF(D162:D166,$B$4))*D$5,"")</f>
        <v>810</v>
      </c>
      <c r="E174" s="557">
        <f t="shared" ref="E174:R174" si="56">IF(COUNTIF(E167:E171,$B$4)+COUNTIF(E162:E166,$B$4)&gt;0,(COUNTIF(E167:E171,$B$4)+COUNTIF(E162:E166,$B$4))*E$5,"")</f>
        <v>990</v>
      </c>
      <c r="F174" s="557" t="str">
        <f t="shared" si="56"/>
        <v/>
      </c>
      <c r="G174" s="557" t="str">
        <f t="shared" si="56"/>
        <v/>
      </c>
      <c r="H174" s="557" t="str">
        <f t="shared" si="56"/>
        <v/>
      </c>
      <c r="I174" s="557" t="str">
        <f t="shared" si="56"/>
        <v/>
      </c>
      <c r="J174" s="557" t="str">
        <f t="shared" si="56"/>
        <v/>
      </c>
      <c r="K174" s="557" t="str">
        <f t="shared" si="56"/>
        <v/>
      </c>
      <c r="L174" s="557">
        <f t="shared" si="56"/>
        <v>450</v>
      </c>
      <c r="M174" s="557" t="str">
        <f t="shared" si="56"/>
        <v/>
      </c>
      <c r="N174" s="557" t="str">
        <f t="shared" si="56"/>
        <v/>
      </c>
      <c r="O174" s="557" t="str">
        <f t="shared" si="56"/>
        <v/>
      </c>
      <c r="P174" s="557" t="str">
        <f t="shared" si="56"/>
        <v/>
      </c>
      <c r="Q174" s="557">
        <f t="shared" si="56"/>
        <v>450</v>
      </c>
      <c r="R174" s="557" t="str">
        <f t="shared" si="56"/>
        <v/>
      </c>
    </row>
    <row r="175" spans="2:18" x14ac:dyDescent="0.2">
      <c r="B175" s="559"/>
      <c r="C175" s="638">
        <f ca="1">IF(C174&lt;&gt;"",SUM(D175:R175)-C174,"")</f>
        <v>-2700</v>
      </c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0"/>
      <c r="P175" s="560"/>
      <c r="Q175" s="560"/>
      <c r="R175" s="560"/>
    </row>
    <row r="176" spans="2:18" x14ac:dyDescent="0.2">
      <c r="B176" s="619">
        <v>44752</v>
      </c>
      <c r="C176" s="620" t="str">
        <f t="shared" ref="C176:C182" si="57">IF(COUNTIF(D176:R176,$B$4)&gt;0,COUNTIF(D176:R176,$B$4),"")</f>
        <v/>
      </c>
      <c r="D176" s="597"/>
      <c r="E176" s="597"/>
      <c r="F176" s="597"/>
      <c r="G176" s="597"/>
      <c r="H176" s="597"/>
      <c r="I176" s="597"/>
      <c r="J176" s="597"/>
      <c r="K176" s="597"/>
      <c r="L176" s="597"/>
      <c r="M176" s="597"/>
      <c r="N176" s="597"/>
      <c r="O176" s="597"/>
      <c r="P176" s="597"/>
      <c r="Q176" s="597"/>
      <c r="R176" s="598"/>
    </row>
    <row r="177" spans="2:18" x14ac:dyDescent="0.2">
      <c r="B177" s="550">
        <v>44753</v>
      </c>
      <c r="C177" s="550" t="str">
        <f t="shared" si="57"/>
        <v/>
      </c>
      <c r="D177" s="610"/>
      <c r="E177" s="610"/>
      <c r="F177" s="610"/>
      <c r="G177" s="610"/>
      <c r="H177" s="610"/>
      <c r="I177" s="610"/>
      <c r="J177" s="610"/>
      <c r="K177" s="610"/>
      <c r="L177" s="610"/>
      <c r="M177" s="610"/>
      <c r="N177" s="610"/>
      <c r="O177" s="610"/>
      <c r="P177" s="610"/>
      <c r="Q177" s="610"/>
      <c r="R177" s="610"/>
    </row>
    <row r="178" spans="2:18" x14ac:dyDescent="0.2">
      <c r="B178" s="550">
        <v>44754</v>
      </c>
      <c r="C178" s="550" t="str">
        <f t="shared" si="57"/>
        <v/>
      </c>
      <c r="D178" s="552"/>
      <c r="E178" s="552"/>
      <c r="F178" s="552"/>
      <c r="G178" s="552"/>
      <c r="H178" s="552"/>
      <c r="I178" s="552"/>
      <c r="J178" s="552"/>
      <c r="K178" s="552"/>
      <c r="L178" s="552"/>
      <c r="M178" s="552"/>
      <c r="N178" s="552"/>
      <c r="O178" s="552"/>
      <c r="P178" s="552"/>
      <c r="Q178" s="552"/>
      <c r="R178" s="552"/>
    </row>
    <row r="179" spans="2:18" x14ac:dyDescent="0.2">
      <c r="B179" s="550">
        <v>44755</v>
      </c>
      <c r="C179" s="550" t="str">
        <f t="shared" si="57"/>
        <v/>
      </c>
      <c r="D179" s="552"/>
      <c r="E179" s="552"/>
      <c r="F179" s="552"/>
      <c r="G179" s="552"/>
      <c r="H179" s="552"/>
      <c r="I179" s="552"/>
      <c r="J179" s="552"/>
      <c r="K179" s="552"/>
      <c r="L179" s="552"/>
      <c r="M179" s="552"/>
      <c r="N179" s="552"/>
      <c r="O179" s="552"/>
      <c r="P179" s="552"/>
      <c r="Q179" s="552"/>
      <c r="R179" s="552"/>
    </row>
    <row r="180" spans="2:18" x14ac:dyDescent="0.2">
      <c r="B180" s="550">
        <v>44756</v>
      </c>
      <c r="C180" s="550" t="str">
        <f t="shared" si="57"/>
        <v/>
      </c>
      <c r="D180" s="552"/>
      <c r="E180" s="552"/>
      <c r="F180" s="552"/>
      <c r="G180" s="552"/>
      <c r="H180" s="552"/>
      <c r="I180" s="552"/>
      <c r="J180" s="552"/>
      <c r="K180" s="552"/>
      <c r="L180" s="552"/>
      <c r="M180" s="552"/>
      <c r="N180" s="552"/>
      <c r="O180" s="552"/>
      <c r="P180" s="552"/>
      <c r="Q180" s="552"/>
      <c r="R180" s="552"/>
    </row>
    <row r="181" spans="2:18" x14ac:dyDescent="0.2">
      <c r="B181" s="550">
        <v>44757</v>
      </c>
      <c r="C181" s="550" t="str">
        <f t="shared" si="57"/>
        <v/>
      </c>
      <c r="D181" s="552"/>
      <c r="E181" s="552"/>
      <c r="F181" s="552"/>
      <c r="G181" s="552"/>
      <c r="H181" s="552"/>
      <c r="I181" s="552"/>
      <c r="J181" s="552"/>
      <c r="K181" s="552"/>
      <c r="L181" s="552"/>
      <c r="M181" s="552"/>
      <c r="N181" s="552"/>
      <c r="O181" s="552"/>
      <c r="P181" s="552"/>
      <c r="Q181" s="552"/>
      <c r="R181" s="552"/>
    </row>
    <row r="182" spans="2:18" x14ac:dyDescent="0.2">
      <c r="B182" s="550">
        <v>44758</v>
      </c>
      <c r="C182" s="550" t="str">
        <f t="shared" si="57"/>
        <v/>
      </c>
      <c r="D182" s="552"/>
      <c r="E182" s="552"/>
      <c r="F182" s="552"/>
      <c r="G182" s="552"/>
      <c r="H182" s="552"/>
      <c r="I182" s="552"/>
      <c r="J182" s="552"/>
      <c r="K182" s="552"/>
      <c r="L182" s="552"/>
      <c r="M182" s="552"/>
      <c r="N182" s="552"/>
      <c r="O182" s="552"/>
      <c r="P182" s="552"/>
      <c r="Q182" s="552"/>
      <c r="R182" s="552"/>
    </row>
    <row r="183" spans="2:18" x14ac:dyDescent="0.2">
      <c r="B183" s="603" t="s">
        <v>610</v>
      </c>
      <c r="C183" s="526"/>
      <c r="D183" s="554">
        <f>IF(COUNTIF(D177:D181,$B$4)+COUNTIF(D172:D176,$B$4)&gt;0,COUNTIF(D177:D181,$B$4)+COUNTIF(D172:D176,$B$4),"")</f>
        <v>1</v>
      </c>
      <c r="E183" s="554">
        <f t="shared" ref="E183:R183" si="58">IF(COUNTIF(E177:E181,$B$4)+COUNTIF(E172:E176,$B$4)&gt;0,COUNTIF(E177:E181,$B$4)+COUNTIF(E172:E176,$B$4),"")</f>
        <v>1</v>
      </c>
      <c r="F183" s="554" t="str">
        <f t="shared" si="58"/>
        <v/>
      </c>
      <c r="G183" s="554" t="str">
        <f t="shared" si="58"/>
        <v/>
      </c>
      <c r="H183" s="554" t="str">
        <f t="shared" si="58"/>
        <v/>
      </c>
      <c r="I183" s="554" t="str">
        <f t="shared" si="58"/>
        <v/>
      </c>
      <c r="J183" s="554" t="str">
        <f t="shared" si="58"/>
        <v/>
      </c>
      <c r="K183" s="554" t="str">
        <f t="shared" si="58"/>
        <v/>
      </c>
      <c r="L183" s="554">
        <f t="shared" si="58"/>
        <v>1</v>
      </c>
      <c r="M183" s="554" t="str">
        <f t="shared" si="58"/>
        <v/>
      </c>
      <c r="N183" s="554" t="str">
        <f t="shared" si="58"/>
        <v/>
      </c>
      <c r="O183" s="554" t="str">
        <f t="shared" si="58"/>
        <v/>
      </c>
      <c r="P183" s="554" t="str">
        <f t="shared" si="58"/>
        <v/>
      </c>
      <c r="Q183" s="554">
        <f t="shared" si="58"/>
        <v>1</v>
      </c>
      <c r="R183" s="554" t="str">
        <f t="shared" si="58"/>
        <v/>
      </c>
    </row>
    <row r="184" spans="2:18" x14ac:dyDescent="0.2">
      <c r="B184" s="590" t="s">
        <v>611</v>
      </c>
      <c r="C184" s="556" t="str">
        <f ca="1">IF(B182&lt;=TODAY(),SUM(D184:R184),"")</f>
        <v/>
      </c>
      <c r="D184" s="557">
        <f>IF(COUNTIF(D177:D181,$B$4)+COUNTIF(D172:D176,$B$4)&gt;0,(COUNTIF(D177:D181,$B$4)+COUNTIF(D172:D176,$B$4))*D$5,"")</f>
        <v>135</v>
      </c>
      <c r="E184" s="557">
        <f t="shared" ref="E184:R184" si="59">IF(COUNTIF(E177:E181,$B$4)+COUNTIF(E172:E176,$B$4)&gt;0,(COUNTIF(E177:E181,$B$4)+COUNTIF(E172:E176,$B$4))*E$5,"")</f>
        <v>165</v>
      </c>
      <c r="F184" s="557" t="str">
        <f t="shared" si="59"/>
        <v/>
      </c>
      <c r="G184" s="557" t="str">
        <f t="shared" si="59"/>
        <v/>
      </c>
      <c r="H184" s="557" t="str">
        <f t="shared" si="59"/>
        <v/>
      </c>
      <c r="I184" s="557" t="str">
        <f t="shared" si="59"/>
        <v/>
      </c>
      <c r="J184" s="557" t="str">
        <f t="shared" si="59"/>
        <v/>
      </c>
      <c r="K184" s="557" t="str">
        <f t="shared" si="59"/>
        <v/>
      </c>
      <c r="L184" s="557">
        <f t="shared" si="59"/>
        <v>90</v>
      </c>
      <c r="M184" s="557" t="str">
        <f t="shared" si="59"/>
        <v/>
      </c>
      <c r="N184" s="557" t="str">
        <f t="shared" si="59"/>
        <v/>
      </c>
      <c r="O184" s="557" t="str">
        <f t="shared" si="59"/>
        <v/>
      </c>
      <c r="P184" s="557" t="str">
        <f t="shared" si="59"/>
        <v/>
      </c>
      <c r="Q184" s="557">
        <f t="shared" si="59"/>
        <v>90</v>
      </c>
      <c r="R184" s="557" t="str">
        <f t="shared" si="59"/>
        <v/>
      </c>
    </row>
    <row r="185" spans="2:18" x14ac:dyDescent="0.2">
      <c r="B185" s="559"/>
      <c r="C185" s="638" t="str">
        <f ca="1">IF(C184&lt;&gt;"",SUM(D185:R185)-C184,"")</f>
        <v/>
      </c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0"/>
      <c r="P185" s="560"/>
      <c r="Q185" s="560"/>
      <c r="R185" s="560"/>
    </row>
    <row r="186" spans="2:18" x14ac:dyDescent="0.2">
      <c r="B186" s="550">
        <v>44759</v>
      </c>
      <c r="C186" s="620" t="str">
        <f t="shared" ref="C186:C192" si="60">IF(COUNTIF(D186:R186,$B$4)&gt;0,COUNTIF(D186:R186,$B$4),"")</f>
        <v/>
      </c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8"/>
    </row>
    <row r="187" spans="2:18" x14ac:dyDescent="0.2">
      <c r="B187" s="550">
        <v>44760</v>
      </c>
      <c r="C187" s="550" t="str">
        <f t="shared" si="60"/>
        <v/>
      </c>
      <c r="D187" s="610"/>
      <c r="E187" s="610"/>
      <c r="F187" s="610"/>
      <c r="G187" s="610"/>
      <c r="H187" s="610"/>
      <c r="I187" s="610"/>
      <c r="J187" s="610"/>
      <c r="K187" s="610"/>
      <c r="L187" s="610"/>
      <c r="M187" s="610"/>
      <c r="N187" s="610"/>
      <c r="O187" s="610"/>
      <c r="P187" s="610"/>
      <c r="Q187" s="610"/>
      <c r="R187" s="610"/>
    </row>
    <row r="188" spans="2:18" x14ac:dyDescent="0.2">
      <c r="B188" s="550">
        <v>44761</v>
      </c>
      <c r="C188" s="550" t="str">
        <f t="shared" si="60"/>
        <v/>
      </c>
      <c r="D188" s="552"/>
      <c r="E188" s="552"/>
      <c r="F188" s="552"/>
      <c r="G188" s="552"/>
      <c r="H188" s="552"/>
      <c r="I188" s="552"/>
      <c r="J188" s="552"/>
      <c r="K188" s="552"/>
      <c r="L188" s="552"/>
      <c r="M188" s="552"/>
      <c r="N188" s="552"/>
      <c r="O188" s="552"/>
      <c r="P188" s="552"/>
      <c r="Q188" s="552"/>
      <c r="R188" s="552"/>
    </row>
    <row r="189" spans="2:18" x14ac:dyDescent="0.2">
      <c r="B189" s="550">
        <v>44762</v>
      </c>
      <c r="C189" s="550" t="str">
        <f t="shared" si="60"/>
        <v/>
      </c>
      <c r="D189" s="552"/>
      <c r="E189" s="552"/>
      <c r="F189" s="552"/>
      <c r="G189" s="552"/>
      <c r="H189" s="552"/>
      <c r="I189" s="552"/>
      <c r="J189" s="552"/>
      <c r="K189" s="552"/>
      <c r="L189" s="552"/>
      <c r="M189" s="552"/>
      <c r="N189" s="552"/>
      <c r="O189" s="552"/>
      <c r="P189" s="552"/>
      <c r="Q189" s="552"/>
      <c r="R189" s="552"/>
    </row>
    <row r="190" spans="2:18" x14ac:dyDescent="0.2">
      <c r="B190" s="550">
        <v>44763</v>
      </c>
      <c r="C190" s="550" t="str">
        <f t="shared" si="60"/>
        <v/>
      </c>
      <c r="D190" s="552"/>
      <c r="E190" s="552"/>
      <c r="F190" s="552"/>
      <c r="G190" s="552"/>
      <c r="H190" s="552"/>
      <c r="I190" s="552"/>
      <c r="J190" s="552"/>
      <c r="K190" s="552"/>
      <c r="L190" s="552"/>
      <c r="M190" s="552"/>
      <c r="N190" s="552"/>
      <c r="O190" s="552"/>
      <c r="P190" s="552"/>
      <c r="Q190" s="552"/>
      <c r="R190" s="552"/>
    </row>
    <row r="191" spans="2:18" x14ac:dyDescent="0.2">
      <c r="B191" s="550">
        <v>44764</v>
      </c>
      <c r="C191" s="550" t="str">
        <f t="shared" si="60"/>
        <v/>
      </c>
      <c r="D191" s="552"/>
      <c r="E191" s="552"/>
      <c r="F191" s="552"/>
      <c r="G191" s="552"/>
      <c r="H191" s="552"/>
      <c r="I191" s="552"/>
      <c r="J191" s="552"/>
      <c r="K191" s="552"/>
      <c r="L191" s="552"/>
      <c r="M191" s="552"/>
      <c r="N191" s="552"/>
      <c r="O191" s="552"/>
      <c r="P191" s="552"/>
      <c r="Q191" s="552"/>
      <c r="R191" s="552"/>
    </row>
    <row r="192" spans="2:18" x14ac:dyDescent="0.2">
      <c r="B192" s="550">
        <v>44765</v>
      </c>
      <c r="C192" s="550" t="str">
        <f t="shared" si="60"/>
        <v/>
      </c>
      <c r="D192" s="552"/>
      <c r="E192" s="552"/>
      <c r="F192" s="552"/>
      <c r="G192" s="552"/>
      <c r="H192" s="552"/>
      <c r="I192" s="552"/>
      <c r="J192" s="552"/>
      <c r="K192" s="552"/>
      <c r="L192" s="552"/>
      <c r="M192" s="552"/>
      <c r="N192" s="552"/>
      <c r="O192" s="552"/>
      <c r="P192" s="552"/>
      <c r="Q192" s="552"/>
      <c r="R192" s="552"/>
    </row>
    <row r="193" spans="2:18" x14ac:dyDescent="0.2">
      <c r="B193" s="603" t="s">
        <v>610</v>
      </c>
      <c r="C193" s="526"/>
      <c r="D193" s="554" t="str">
        <f>IF(COUNTIF(D187:D191,$B$4)+COUNTIF(D182:D186,$B$4)&gt;0,COUNTIF(D187:D191,$B$4)+COUNTIF(D182:D186,$B$4),"")</f>
        <v/>
      </c>
      <c r="E193" s="554" t="str">
        <f t="shared" ref="E193:R193" si="61">IF(COUNTIF(E187:E191,$B$4)+COUNTIF(E182:E186,$B$4)&gt;0,COUNTIF(E187:E191,$B$4)+COUNTIF(E182:E186,$B$4),"")</f>
        <v/>
      </c>
      <c r="F193" s="554" t="str">
        <f t="shared" si="61"/>
        <v/>
      </c>
      <c r="G193" s="554" t="str">
        <f t="shared" si="61"/>
        <v/>
      </c>
      <c r="H193" s="554" t="str">
        <f t="shared" si="61"/>
        <v/>
      </c>
      <c r="I193" s="554" t="str">
        <f t="shared" si="61"/>
        <v/>
      </c>
      <c r="J193" s="554" t="str">
        <f t="shared" si="61"/>
        <v/>
      </c>
      <c r="K193" s="554" t="str">
        <f t="shared" si="61"/>
        <v/>
      </c>
      <c r="L193" s="554" t="str">
        <f t="shared" si="61"/>
        <v/>
      </c>
      <c r="M193" s="554" t="str">
        <f t="shared" si="61"/>
        <v/>
      </c>
      <c r="N193" s="554" t="str">
        <f t="shared" si="61"/>
        <v/>
      </c>
      <c r="O193" s="554" t="str">
        <f t="shared" si="61"/>
        <v/>
      </c>
      <c r="P193" s="554" t="str">
        <f t="shared" si="61"/>
        <v/>
      </c>
      <c r="Q193" s="554" t="str">
        <f t="shared" si="61"/>
        <v/>
      </c>
      <c r="R193" s="554" t="str">
        <f t="shared" si="61"/>
        <v/>
      </c>
    </row>
    <row r="194" spans="2:18" x14ac:dyDescent="0.2">
      <c r="B194" s="590" t="s">
        <v>611</v>
      </c>
      <c r="C194" s="556" t="str">
        <f ca="1">IF(B192&lt;=TODAY(),SUM(D194:R194),"")</f>
        <v/>
      </c>
      <c r="D194" s="557" t="str">
        <f>IF(COUNTIF(D187:D191,$B$4)+COUNTIF(D182:D186,$B$4)&gt;0,(COUNTIF(D187:D191,$B$4)+COUNTIF(D182:D186,$B$4))*D$5,"")</f>
        <v/>
      </c>
      <c r="E194" s="557" t="str">
        <f t="shared" ref="E194:R194" si="62">IF(COUNTIF(E187:E191,$B$4)+COUNTIF(E182:E186,$B$4)&gt;0,(COUNTIF(E187:E191,$B$4)+COUNTIF(E182:E186,$B$4))*E$5,"")</f>
        <v/>
      </c>
      <c r="F194" s="557" t="str">
        <f t="shared" si="62"/>
        <v/>
      </c>
      <c r="G194" s="557" t="str">
        <f t="shared" si="62"/>
        <v/>
      </c>
      <c r="H194" s="557" t="str">
        <f t="shared" si="62"/>
        <v/>
      </c>
      <c r="I194" s="557" t="str">
        <f t="shared" si="62"/>
        <v/>
      </c>
      <c r="J194" s="557" t="str">
        <f t="shared" si="62"/>
        <v/>
      </c>
      <c r="K194" s="557" t="str">
        <f t="shared" si="62"/>
        <v/>
      </c>
      <c r="L194" s="557" t="str">
        <f t="shared" si="62"/>
        <v/>
      </c>
      <c r="M194" s="557" t="str">
        <f t="shared" si="62"/>
        <v/>
      </c>
      <c r="N194" s="557" t="str">
        <f t="shared" si="62"/>
        <v/>
      </c>
      <c r="O194" s="557" t="str">
        <f t="shared" si="62"/>
        <v/>
      </c>
      <c r="P194" s="557" t="str">
        <f t="shared" si="62"/>
        <v/>
      </c>
      <c r="Q194" s="557" t="str">
        <f t="shared" si="62"/>
        <v/>
      </c>
      <c r="R194" s="557" t="str">
        <f t="shared" si="62"/>
        <v/>
      </c>
    </row>
    <row r="195" spans="2:18" x14ac:dyDescent="0.2">
      <c r="C195" s="638" t="str">
        <f ca="1">IF(C194&lt;&gt;"",SUM(D195:R195)-C194,"")</f>
        <v/>
      </c>
      <c r="D195" s="560"/>
      <c r="E195" s="560"/>
      <c r="F195" s="560"/>
      <c r="G195" s="560"/>
      <c r="H195" s="560"/>
      <c r="I195" s="560"/>
      <c r="J195" s="560"/>
      <c r="K195" s="560"/>
      <c r="L195" s="560"/>
      <c r="M195" s="560"/>
      <c r="N195" s="560"/>
      <c r="O195" s="560"/>
      <c r="P195" s="560"/>
      <c r="Q195" s="560"/>
      <c r="R195" s="560"/>
    </row>
    <row r="196" spans="2:18" x14ac:dyDescent="0.2">
      <c r="B196" s="550">
        <v>44766</v>
      </c>
      <c r="C196" s="620" t="str">
        <f t="shared" ref="C196:C202" si="63">IF(COUNTIF(D196:R196,$B$4)&gt;0,COUNTIF(D196:R196,$B$4),"")</f>
        <v/>
      </c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8"/>
    </row>
    <row r="197" spans="2:18" x14ac:dyDescent="0.2">
      <c r="B197" s="550">
        <v>44767</v>
      </c>
      <c r="C197" s="550" t="str">
        <f t="shared" si="63"/>
        <v/>
      </c>
      <c r="D197" s="610"/>
      <c r="E197" s="610"/>
      <c r="F197" s="610"/>
      <c r="G197" s="610"/>
      <c r="H197" s="610"/>
      <c r="I197" s="610"/>
      <c r="J197" s="610"/>
      <c r="K197" s="610"/>
      <c r="L197" s="610"/>
      <c r="M197" s="610"/>
      <c r="N197" s="610"/>
      <c r="O197" s="610"/>
      <c r="P197" s="610"/>
      <c r="Q197" s="610"/>
      <c r="R197" s="610"/>
    </row>
    <row r="198" spans="2:18" x14ac:dyDescent="0.2">
      <c r="B198" s="550">
        <v>44768</v>
      </c>
      <c r="C198" s="550" t="str">
        <f t="shared" si="63"/>
        <v/>
      </c>
      <c r="D198" s="552"/>
      <c r="E198" s="552"/>
      <c r="F198" s="552"/>
      <c r="G198" s="552"/>
      <c r="H198" s="552"/>
      <c r="I198" s="552"/>
      <c r="J198" s="552"/>
      <c r="K198" s="552"/>
      <c r="L198" s="552"/>
      <c r="M198" s="552"/>
      <c r="N198" s="552"/>
      <c r="O198" s="552"/>
      <c r="P198" s="552"/>
      <c r="Q198" s="552"/>
      <c r="R198" s="552"/>
    </row>
    <row r="199" spans="2:18" x14ac:dyDescent="0.2">
      <c r="B199" s="550">
        <v>44769</v>
      </c>
      <c r="C199" s="550" t="str">
        <f t="shared" si="63"/>
        <v/>
      </c>
      <c r="D199" s="552"/>
      <c r="E199" s="552"/>
      <c r="F199" s="552"/>
      <c r="G199" s="552"/>
      <c r="H199" s="552"/>
      <c r="I199" s="552"/>
      <c r="J199" s="552"/>
      <c r="K199" s="552"/>
      <c r="L199" s="552"/>
      <c r="M199" s="552"/>
      <c r="N199" s="552"/>
      <c r="O199" s="552"/>
      <c r="P199" s="552"/>
      <c r="Q199" s="552"/>
      <c r="R199" s="552"/>
    </row>
    <row r="200" spans="2:18" x14ac:dyDescent="0.2">
      <c r="B200" s="550">
        <v>44770</v>
      </c>
      <c r="C200" s="550" t="str">
        <f t="shared" si="63"/>
        <v/>
      </c>
      <c r="D200" s="552"/>
      <c r="E200" s="552"/>
      <c r="F200" s="552"/>
      <c r="G200" s="552"/>
      <c r="H200" s="552"/>
      <c r="I200" s="552"/>
      <c r="J200" s="552"/>
      <c r="K200" s="552"/>
      <c r="L200" s="552"/>
      <c r="M200" s="552"/>
      <c r="N200" s="552"/>
      <c r="O200" s="552"/>
      <c r="P200" s="552"/>
      <c r="Q200" s="552"/>
      <c r="R200" s="552"/>
    </row>
    <row r="201" spans="2:18" x14ac:dyDescent="0.2">
      <c r="B201" s="550">
        <v>44771</v>
      </c>
      <c r="C201" s="550" t="str">
        <f t="shared" si="63"/>
        <v/>
      </c>
      <c r="D201" s="552"/>
      <c r="E201" s="552"/>
      <c r="F201" s="552"/>
      <c r="G201" s="552"/>
      <c r="H201" s="552"/>
      <c r="I201" s="552"/>
      <c r="J201" s="552"/>
      <c r="K201" s="552"/>
      <c r="L201" s="552"/>
      <c r="M201" s="552"/>
      <c r="N201" s="552"/>
      <c r="O201" s="552"/>
      <c r="P201" s="552"/>
      <c r="Q201" s="552"/>
      <c r="R201" s="552"/>
    </row>
    <row r="202" spans="2:18" x14ac:dyDescent="0.2">
      <c r="B202" s="550">
        <v>44772</v>
      </c>
      <c r="C202" s="550" t="str">
        <f t="shared" si="63"/>
        <v/>
      </c>
      <c r="D202" s="552"/>
      <c r="E202" s="552"/>
      <c r="F202" s="552"/>
      <c r="G202" s="552"/>
      <c r="H202" s="552"/>
      <c r="I202" s="552"/>
      <c r="J202" s="552"/>
      <c r="K202" s="552"/>
      <c r="L202" s="552"/>
      <c r="M202" s="552"/>
      <c r="N202" s="552"/>
      <c r="O202" s="552"/>
      <c r="P202" s="552"/>
      <c r="Q202" s="552"/>
      <c r="R202" s="552"/>
    </row>
    <row r="203" spans="2:18" x14ac:dyDescent="0.2">
      <c r="B203" s="603" t="s">
        <v>610</v>
      </c>
      <c r="C203" s="526"/>
      <c r="D203" s="554" t="str">
        <f>IF(COUNTIF(D197:D201,$B$4)+COUNTIF(D192:D196,$B$4)&gt;0,COUNTIF(D197:D201,$B$4)+COUNTIF(D192:D196,$B$4),"")</f>
        <v/>
      </c>
      <c r="E203" s="554" t="str">
        <f t="shared" ref="E203:R203" si="64">IF(COUNTIF(E197:E201,$B$4)+COUNTIF(E192:E196,$B$4)&gt;0,COUNTIF(E197:E201,$B$4)+COUNTIF(E192:E196,$B$4),"")</f>
        <v/>
      </c>
      <c r="F203" s="554" t="str">
        <f t="shared" si="64"/>
        <v/>
      </c>
      <c r="G203" s="554" t="str">
        <f t="shared" si="64"/>
        <v/>
      </c>
      <c r="H203" s="554" t="str">
        <f t="shared" si="64"/>
        <v/>
      </c>
      <c r="I203" s="554" t="str">
        <f t="shared" si="64"/>
        <v/>
      </c>
      <c r="J203" s="554" t="str">
        <f t="shared" si="64"/>
        <v/>
      </c>
      <c r="K203" s="554" t="str">
        <f t="shared" si="64"/>
        <v/>
      </c>
      <c r="L203" s="554" t="str">
        <f t="shared" si="64"/>
        <v/>
      </c>
      <c r="M203" s="554" t="str">
        <f t="shared" si="64"/>
        <v/>
      </c>
      <c r="N203" s="554" t="str">
        <f t="shared" si="64"/>
        <v/>
      </c>
      <c r="O203" s="554" t="str">
        <f t="shared" si="64"/>
        <v/>
      </c>
      <c r="P203" s="554" t="str">
        <f t="shared" si="64"/>
        <v/>
      </c>
      <c r="Q203" s="554" t="str">
        <f t="shared" si="64"/>
        <v/>
      </c>
      <c r="R203" s="554" t="str">
        <f t="shared" si="64"/>
        <v/>
      </c>
    </row>
    <row r="204" spans="2:18" x14ac:dyDescent="0.2">
      <c r="B204" s="590" t="s">
        <v>611</v>
      </c>
      <c r="C204" s="556" t="str">
        <f ca="1">IF(B202&lt;=TODAY(),SUM(D204:R204),"")</f>
        <v/>
      </c>
      <c r="D204" s="557" t="str">
        <f>IF(COUNTIF(D197:D201,$B$4)+COUNTIF(D192:D196,$B$4)&gt;0,(COUNTIF(D197:D201,$B$4)+COUNTIF(D192:D196,$B$4))*D$5,"")</f>
        <v/>
      </c>
      <c r="E204" s="557" t="str">
        <f t="shared" ref="E204:R204" si="65">IF(COUNTIF(E197:E201,$B$4)+COUNTIF(E192:E196,$B$4)&gt;0,(COUNTIF(E197:E201,$B$4)+COUNTIF(E192:E196,$B$4))*E$5,"")</f>
        <v/>
      </c>
      <c r="F204" s="557" t="str">
        <f t="shared" si="65"/>
        <v/>
      </c>
      <c r="G204" s="557" t="str">
        <f t="shared" si="65"/>
        <v/>
      </c>
      <c r="H204" s="557" t="str">
        <f t="shared" si="65"/>
        <v/>
      </c>
      <c r="I204" s="557" t="str">
        <f t="shared" si="65"/>
        <v/>
      </c>
      <c r="J204" s="557" t="str">
        <f t="shared" si="65"/>
        <v/>
      </c>
      <c r="K204" s="557" t="str">
        <f t="shared" si="65"/>
        <v/>
      </c>
      <c r="L204" s="557" t="str">
        <f t="shared" si="65"/>
        <v/>
      </c>
      <c r="M204" s="557" t="str">
        <f t="shared" si="65"/>
        <v/>
      </c>
      <c r="N204" s="557" t="str">
        <f t="shared" si="65"/>
        <v/>
      </c>
      <c r="O204" s="557" t="str">
        <f t="shared" si="65"/>
        <v/>
      </c>
      <c r="P204" s="557" t="str">
        <f t="shared" si="65"/>
        <v/>
      </c>
      <c r="Q204" s="557" t="str">
        <f t="shared" si="65"/>
        <v/>
      </c>
      <c r="R204" s="557" t="str">
        <f t="shared" si="65"/>
        <v/>
      </c>
    </row>
    <row r="205" spans="2:18" x14ac:dyDescent="0.2">
      <c r="C205" s="638" t="str">
        <f ca="1">IF(C204&lt;&gt;"",SUM(D205:R205)-C204,"")</f>
        <v/>
      </c>
      <c r="D205" s="560"/>
      <c r="E205" s="560"/>
      <c r="F205" s="560"/>
      <c r="G205" s="560"/>
      <c r="H205" s="560"/>
      <c r="I205" s="560"/>
      <c r="J205" s="560"/>
      <c r="K205" s="560"/>
      <c r="L205" s="560"/>
      <c r="M205" s="560"/>
      <c r="N205" s="560"/>
      <c r="O205" s="560"/>
      <c r="P205" s="560"/>
      <c r="Q205" s="560"/>
      <c r="R205" s="560"/>
    </row>
  </sheetData>
  <mergeCells count="6">
    <mergeCell ref="B157:R157"/>
    <mergeCell ref="D3:I3"/>
    <mergeCell ref="J3:R3"/>
    <mergeCell ref="B45:R45"/>
    <mergeCell ref="B106:R106"/>
    <mergeCell ref="B13:R13"/>
  </mergeCells>
  <conditionalFormatting sqref="D19:R22 D27:R32 D52:R56 D61:R66 D71:R76 D81:R86 D90:R92">
    <cfRule type="cellIs" dxfId="345" priority="374" operator="equal">
      <formula>"Pediu p/sair"</formula>
    </cfRule>
    <cfRule type="cellIs" dxfId="344" priority="375" operator="equal">
      <formula>"Dispensado"</formula>
    </cfRule>
    <cfRule type="cellIs" dxfId="343" priority="376" operator="equal">
      <formula>"Faltou"</formula>
    </cfRule>
  </conditionalFormatting>
  <conditionalFormatting sqref="D122:R124 D119:R120 D148:R152 D111:R114 D129:R134 D139:R144">
    <cfRule type="cellIs" dxfId="342" priority="371" operator="equal">
      <formula>"Pediu p/sair"</formula>
    </cfRule>
    <cfRule type="cellIs" dxfId="341" priority="372" operator="equal">
      <formula>"Dispensado"</formula>
    </cfRule>
    <cfRule type="cellIs" dxfId="340" priority="373" operator="equal">
      <formula>"Faltou"</formula>
    </cfRule>
  </conditionalFormatting>
  <conditionalFormatting sqref="D49:R49">
    <cfRule type="cellIs" dxfId="339" priority="367" operator="notEqual">
      <formula>""</formula>
    </cfRule>
  </conditionalFormatting>
  <conditionalFormatting sqref="D17:R18">
    <cfRule type="cellIs" dxfId="338" priority="357" operator="equal">
      <formula>"Pediu p/sair"</formula>
    </cfRule>
    <cfRule type="cellIs" dxfId="337" priority="358" operator="equal">
      <formula>"Dispensado"</formula>
    </cfRule>
    <cfRule type="cellIs" dxfId="336" priority="359" operator="equal">
      <formula>"Faltou"</formula>
    </cfRule>
  </conditionalFormatting>
  <conditionalFormatting sqref="D51:R51">
    <cfRule type="cellIs" dxfId="335" priority="354" operator="equal">
      <formula>"Pediu p/sair"</formula>
    </cfRule>
    <cfRule type="cellIs" dxfId="334" priority="355" operator="equal">
      <formula>"Dispensado"</formula>
    </cfRule>
    <cfRule type="cellIs" dxfId="333" priority="356" operator="equal">
      <formula>"Faltou"</formula>
    </cfRule>
  </conditionalFormatting>
  <conditionalFormatting sqref="D16:R16">
    <cfRule type="cellIs" dxfId="332" priority="350" operator="notEqual">
      <formula>""</formula>
    </cfRule>
  </conditionalFormatting>
  <conditionalFormatting sqref="D110:R110">
    <cfRule type="cellIs" dxfId="331" priority="349" operator="notEqual">
      <formula>""</formula>
    </cfRule>
  </conditionalFormatting>
  <conditionalFormatting sqref="D8:R8">
    <cfRule type="cellIs" dxfId="330" priority="348" operator="notEqual">
      <formula>""</formula>
    </cfRule>
  </conditionalFormatting>
  <conditionalFormatting sqref="D7:R7">
    <cfRule type="cellIs" dxfId="329" priority="338" operator="equal">
      <formula>""</formula>
    </cfRule>
    <cfRule type="cellIs" dxfId="328" priority="347" operator="notEqual">
      <formula>""</formula>
    </cfRule>
  </conditionalFormatting>
  <conditionalFormatting sqref="D138:R138">
    <cfRule type="cellIs" dxfId="327" priority="344" operator="equal">
      <formula>"Pediu p/sair"</formula>
    </cfRule>
    <cfRule type="cellIs" dxfId="326" priority="345" operator="equal">
      <formula>"Dispensado"</formula>
    </cfRule>
    <cfRule type="cellIs" dxfId="325" priority="346" operator="equal">
      <formula>"Faltou"</formula>
    </cfRule>
  </conditionalFormatting>
  <conditionalFormatting sqref="D128:R128">
    <cfRule type="cellIs" dxfId="324" priority="341" operator="equal">
      <formula>"Pediu p/sair"</formula>
    </cfRule>
    <cfRule type="cellIs" dxfId="323" priority="342" operator="equal">
      <formula>"Dispensado"</formula>
    </cfRule>
    <cfRule type="cellIs" dxfId="322" priority="343" operator="equal">
      <formula>"Faltou"</formula>
    </cfRule>
  </conditionalFormatting>
  <conditionalFormatting sqref="D15:R15">
    <cfRule type="cellIs" dxfId="321" priority="336" operator="equal">
      <formula>""</formula>
    </cfRule>
    <cfRule type="cellIs" dxfId="320" priority="337" operator="notEqual">
      <formula>""</formula>
    </cfRule>
  </conditionalFormatting>
  <conditionalFormatting sqref="D47:R47">
    <cfRule type="cellIs" dxfId="319" priority="334" operator="equal">
      <formula>""</formula>
    </cfRule>
    <cfRule type="cellIs" dxfId="318" priority="335" operator="notEqual">
      <formula>""</formula>
    </cfRule>
  </conditionalFormatting>
  <conditionalFormatting sqref="D109:R109">
    <cfRule type="cellIs" dxfId="317" priority="332" operator="equal">
      <formula>""</formula>
    </cfRule>
    <cfRule type="cellIs" dxfId="316" priority="333" operator="notEqual">
      <formula>""</formula>
    </cfRule>
  </conditionalFormatting>
  <conditionalFormatting sqref="D61:R66 D27:R32 D19:R22 D52:R56 D81:R86 D71:R76 D118:R120 D90:R92 D122:R124 D148:R152 D111:R114 D128:R134 D138:R144">
    <cfRule type="cellIs" dxfId="315" priority="328" operator="equal">
      <formula>"S/Expediente"</formula>
    </cfRule>
    <cfRule type="cellIs" dxfId="314" priority="329" operator="equal">
      <formula>"Feriado"</formula>
    </cfRule>
    <cfRule type="cellIs" dxfId="313" priority="330" operator="equal">
      <formula>"Folga"</formula>
    </cfRule>
    <cfRule type="cellIs" dxfId="312" priority="331" operator="equal">
      <formula>"Aguardar"</formula>
    </cfRule>
  </conditionalFormatting>
  <conditionalFormatting sqref="D160:R160">
    <cfRule type="cellIs" dxfId="311" priority="327" operator="notEqual">
      <formula>""</formula>
    </cfRule>
  </conditionalFormatting>
  <conditionalFormatting sqref="D159:R159">
    <cfRule type="cellIs" dxfId="310" priority="325" operator="equal">
      <formula>""</formula>
    </cfRule>
    <cfRule type="cellIs" dxfId="309" priority="326" operator="notEqual">
      <formula>""</formula>
    </cfRule>
  </conditionalFormatting>
  <conditionalFormatting sqref="D161:R162">
    <cfRule type="cellIs" dxfId="308" priority="322" operator="equal">
      <formula>"Pediu p/sair"</formula>
    </cfRule>
    <cfRule type="cellIs" dxfId="307" priority="323" operator="equal">
      <formula>"Dispensado"</formula>
    </cfRule>
    <cfRule type="cellIs" dxfId="306" priority="324" operator="equal">
      <formula>"Faltou"</formula>
    </cfRule>
  </conditionalFormatting>
  <conditionalFormatting sqref="D161:R162">
    <cfRule type="cellIs" dxfId="305" priority="318" operator="equal">
      <formula>"S/Expediente"</formula>
    </cfRule>
    <cfRule type="cellIs" dxfId="304" priority="319" operator="equal">
      <formula>"Feriado"</formula>
    </cfRule>
    <cfRule type="cellIs" dxfId="303" priority="320" operator="equal">
      <formula>"Folga"</formula>
    </cfRule>
    <cfRule type="cellIs" dxfId="302" priority="321" operator="equal">
      <formula>"Aguardar"</formula>
    </cfRule>
  </conditionalFormatting>
  <conditionalFormatting sqref="D166:R166">
    <cfRule type="cellIs" dxfId="301" priority="315" operator="equal">
      <formula>"Pediu p/sair"</formula>
    </cfRule>
    <cfRule type="cellIs" dxfId="300" priority="316" operator="equal">
      <formula>"Dispensado"</formula>
    </cfRule>
    <cfRule type="cellIs" dxfId="299" priority="317" operator="equal">
      <formula>"Faltou"</formula>
    </cfRule>
  </conditionalFormatting>
  <conditionalFormatting sqref="D166:R166">
    <cfRule type="cellIs" dxfId="298" priority="311" operator="equal">
      <formula>"S/Expediente"</formula>
    </cfRule>
    <cfRule type="cellIs" dxfId="297" priority="312" operator="equal">
      <formula>"Feriado"</formula>
    </cfRule>
    <cfRule type="cellIs" dxfId="296" priority="313" operator="equal">
      <formula>"Folga"</formula>
    </cfRule>
    <cfRule type="cellIs" dxfId="295" priority="314" operator="equal">
      <formula>"Aguardar"</formula>
    </cfRule>
  </conditionalFormatting>
  <conditionalFormatting sqref="D167:R172">
    <cfRule type="cellIs" dxfId="294" priority="308" operator="equal">
      <formula>"Pediu p/sair"</formula>
    </cfRule>
    <cfRule type="cellIs" dxfId="293" priority="309" operator="equal">
      <formula>"Dispensado"</formula>
    </cfRule>
    <cfRule type="cellIs" dxfId="292" priority="310" operator="equal">
      <formula>"Faltou"</formula>
    </cfRule>
  </conditionalFormatting>
  <conditionalFormatting sqref="D167:R172">
    <cfRule type="cellIs" dxfId="291" priority="304" operator="equal">
      <formula>"S/Expediente"</formula>
    </cfRule>
    <cfRule type="cellIs" dxfId="290" priority="305" operator="equal">
      <formula>"Feriado"</formula>
    </cfRule>
    <cfRule type="cellIs" dxfId="289" priority="306" operator="equal">
      <formula>"Folga"</formula>
    </cfRule>
    <cfRule type="cellIs" dxfId="288" priority="307" operator="equal">
      <formula>"Aguardar"</formula>
    </cfRule>
  </conditionalFormatting>
  <conditionalFormatting sqref="D176:R176">
    <cfRule type="cellIs" dxfId="287" priority="301" operator="equal">
      <formula>"Pediu p/sair"</formula>
    </cfRule>
    <cfRule type="cellIs" dxfId="286" priority="302" operator="equal">
      <formula>"Dispensado"</formula>
    </cfRule>
    <cfRule type="cellIs" dxfId="285" priority="303" operator="equal">
      <formula>"Faltou"</formula>
    </cfRule>
  </conditionalFormatting>
  <conditionalFormatting sqref="D176:R176">
    <cfRule type="cellIs" dxfId="284" priority="297" operator="equal">
      <formula>"S/Expediente"</formula>
    </cfRule>
    <cfRule type="cellIs" dxfId="283" priority="298" operator="equal">
      <formula>"Feriado"</formula>
    </cfRule>
    <cfRule type="cellIs" dxfId="282" priority="299" operator="equal">
      <formula>"Folga"</formula>
    </cfRule>
    <cfRule type="cellIs" dxfId="281" priority="300" operator="equal">
      <formula>"Aguardar"</formula>
    </cfRule>
  </conditionalFormatting>
  <conditionalFormatting sqref="D177:R182">
    <cfRule type="cellIs" dxfId="280" priority="294" operator="equal">
      <formula>"Pediu p/sair"</formula>
    </cfRule>
    <cfRule type="cellIs" dxfId="279" priority="295" operator="equal">
      <formula>"Dispensado"</formula>
    </cfRule>
    <cfRule type="cellIs" dxfId="278" priority="296" operator="equal">
      <formula>"Faltou"</formula>
    </cfRule>
  </conditionalFormatting>
  <conditionalFormatting sqref="D177:R182">
    <cfRule type="cellIs" dxfId="277" priority="290" operator="equal">
      <formula>"S/Expediente"</formula>
    </cfRule>
    <cfRule type="cellIs" dxfId="276" priority="291" operator="equal">
      <formula>"Feriado"</formula>
    </cfRule>
    <cfRule type="cellIs" dxfId="275" priority="292" operator="equal">
      <formula>"Folga"</formula>
    </cfRule>
    <cfRule type="cellIs" dxfId="274" priority="293" operator="equal">
      <formula>"Aguardar"</formula>
    </cfRule>
  </conditionalFormatting>
  <conditionalFormatting sqref="D186:R186">
    <cfRule type="cellIs" dxfId="273" priority="287" operator="equal">
      <formula>"Pediu p/sair"</formula>
    </cfRule>
    <cfRule type="cellIs" dxfId="272" priority="288" operator="equal">
      <formula>"Dispensado"</formula>
    </cfRule>
    <cfRule type="cellIs" dxfId="271" priority="289" operator="equal">
      <formula>"Faltou"</formula>
    </cfRule>
  </conditionalFormatting>
  <conditionalFormatting sqref="D186:R186">
    <cfRule type="cellIs" dxfId="270" priority="283" operator="equal">
      <formula>"S/Expediente"</formula>
    </cfRule>
    <cfRule type="cellIs" dxfId="269" priority="284" operator="equal">
      <formula>"Feriado"</formula>
    </cfRule>
    <cfRule type="cellIs" dxfId="268" priority="285" operator="equal">
      <formula>"Folga"</formula>
    </cfRule>
    <cfRule type="cellIs" dxfId="267" priority="286" operator="equal">
      <formula>"Aguardar"</formula>
    </cfRule>
  </conditionalFormatting>
  <conditionalFormatting sqref="D187:R192">
    <cfRule type="cellIs" dxfId="266" priority="280" operator="equal">
      <formula>"Pediu p/sair"</formula>
    </cfRule>
    <cfRule type="cellIs" dxfId="265" priority="281" operator="equal">
      <formula>"Dispensado"</formula>
    </cfRule>
    <cfRule type="cellIs" dxfId="264" priority="282" operator="equal">
      <formula>"Faltou"</formula>
    </cfRule>
  </conditionalFormatting>
  <conditionalFormatting sqref="D187:R192">
    <cfRule type="cellIs" dxfId="263" priority="276" operator="equal">
      <formula>"S/Expediente"</formula>
    </cfRule>
    <cfRule type="cellIs" dxfId="262" priority="277" operator="equal">
      <formula>"Feriado"</formula>
    </cfRule>
    <cfRule type="cellIs" dxfId="261" priority="278" operator="equal">
      <formula>"Folga"</formula>
    </cfRule>
    <cfRule type="cellIs" dxfId="260" priority="279" operator="equal">
      <formula>"Aguardar"</formula>
    </cfRule>
  </conditionalFormatting>
  <conditionalFormatting sqref="D196:R196">
    <cfRule type="cellIs" dxfId="259" priority="273" operator="equal">
      <formula>"Pediu p/sair"</formula>
    </cfRule>
    <cfRule type="cellIs" dxfId="258" priority="274" operator="equal">
      <formula>"Dispensado"</formula>
    </cfRule>
    <cfRule type="cellIs" dxfId="257" priority="275" operator="equal">
      <formula>"Faltou"</formula>
    </cfRule>
  </conditionalFormatting>
  <conditionalFormatting sqref="D196:R196">
    <cfRule type="cellIs" dxfId="256" priority="269" operator="equal">
      <formula>"S/Expediente"</formula>
    </cfRule>
    <cfRule type="cellIs" dxfId="255" priority="270" operator="equal">
      <formula>"Feriado"</formula>
    </cfRule>
    <cfRule type="cellIs" dxfId="254" priority="271" operator="equal">
      <formula>"Folga"</formula>
    </cfRule>
    <cfRule type="cellIs" dxfId="253" priority="272" operator="equal">
      <formula>"Aguardar"</formula>
    </cfRule>
  </conditionalFormatting>
  <conditionalFormatting sqref="D197:R202">
    <cfRule type="cellIs" dxfId="252" priority="266" operator="equal">
      <formula>"Pediu p/sair"</formula>
    </cfRule>
    <cfRule type="cellIs" dxfId="251" priority="267" operator="equal">
      <formula>"Dispensado"</formula>
    </cfRule>
    <cfRule type="cellIs" dxfId="250" priority="268" operator="equal">
      <formula>"Faltou"</formula>
    </cfRule>
  </conditionalFormatting>
  <conditionalFormatting sqref="D197:R202">
    <cfRule type="cellIs" dxfId="249" priority="262" operator="equal">
      <formula>"S/Expediente"</formula>
    </cfRule>
    <cfRule type="cellIs" dxfId="248" priority="263" operator="equal">
      <formula>"Feriado"</formula>
    </cfRule>
    <cfRule type="cellIs" dxfId="247" priority="264" operator="equal">
      <formula>"Folga"</formula>
    </cfRule>
    <cfRule type="cellIs" dxfId="246" priority="265" operator="equal">
      <formula>"Aguardar"</formula>
    </cfRule>
  </conditionalFormatting>
  <conditionalFormatting sqref="D10:R11">
    <cfRule type="cellIs" dxfId="245" priority="261" operator="notEqual">
      <formula>""</formula>
    </cfRule>
  </conditionalFormatting>
  <conditionalFormatting sqref="D25">
    <cfRule type="cellIs" dxfId="244" priority="260" stopIfTrue="1" operator="lessThan">
      <formula>D24</formula>
    </cfRule>
  </conditionalFormatting>
  <conditionalFormatting sqref="E25">
    <cfRule type="cellIs" dxfId="243" priority="259" stopIfTrue="1" operator="lessThan">
      <formula>E24</formula>
    </cfRule>
  </conditionalFormatting>
  <conditionalFormatting sqref="F25">
    <cfRule type="cellIs" dxfId="242" priority="258" stopIfTrue="1" operator="lessThan">
      <formula>F24</formula>
    </cfRule>
  </conditionalFormatting>
  <conditionalFormatting sqref="G25">
    <cfRule type="cellIs" dxfId="241" priority="257" stopIfTrue="1" operator="lessThan">
      <formula>G24</formula>
    </cfRule>
  </conditionalFormatting>
  <conditionalFormatting sqref="H25">
    <cfRule type="cellIs" dxfId="240" priority="256" stopIfTrue="1" operator="lessThan">
      <formula>H24</formula>
    </cfRule>
  </conditionalFormatting>
  <conditionalFormatting sqref="I25">
    <cfRule type="cellIs" dxfId="239" priority="255" stopIfTrue="1" operator="lessThan">
      <formula>I24</formula>
    </cfRule>
  </conditionalFormatting>
  <conditionalFormatting sqref="J25">
    <cfRule type="cellIs" dxfId="238" priority="254" stopIfTrue="1" operator="lessThan">
      <formula>J24</formula>
    </cfRule>
  </conditionalFormatting>
  <conditionalFormatting sqref="K25">
    <cfRule type="cellIs" dxfId="237" priority="253" stopIfTrue="1" operator="lessThan">
      <formula>K24</formula>
    </cfRule>
  </conditionalFormatting>
  <conditionalFormatting sqref="L25">
    <cfRule type="cellIs" dxfId="236" priority="252" stopIfTrue="1" operator="lessThan">
      <formula>L24</formula>
    </cfRule>
  </conditionalFormatting>
  <conditionalFormatting sqref="M25">
    <cfRule type="cellIs" dxfId="235" priority="251" stopIfTrue="1" operator="lessThan">
      <formula>M24</formula>
    </cfRule>
  </conditionalFormatting>
  <conditionalFormatting sqref="N25">
    <cfRule type="cellIs" dxfId="234" priority="250" stopIfTrue="1" operator="lessThan">
      <formula>N24</formula>
    </cfRule>
  </conditionalFormatting>
  <conditionalFormatting sqref="O25">
    <cfRule type="cellIs" dxfId="233" priority="249" stopIfTrue="1" operator="lessThan">
      <formula>O24</formula>
    </cfRule>
  </conditionalFormatting>
  <conditionalFormatting sqref="P25">
    <cfRule type="cellIs" dxfId="232" priority="248" stopIfTrue="1" operator="lessThan">
      <formula>P24</formula>
    </cfRule>
  </conditionalFormatting>
  <conditionalFormatting sqref="Q25">
    <cfRule type="cellIs" dxfId="231" priority="247" stopIfTrue="1" operator="lessThan">
      <formula>Q24</formula>
    </cfRule>
  </conditionalFormatting>
  <conditionalFormatting sqref="R25">
    <cfRule type="cellIs" dxfId="230" priority="246" stopIfTrue="1" operator="lessThan">
      <formula>R24</formula>
    </cfRule>
  </conditionalFormatting>
  <conditionalFormatting sqref="D35">
    <cfRule type="cellIs" dxfId="229" priority="245" stopIfTrue="1" operator="lessThan">
      <formula>D34</formula>
    </cfRule>
  </conditionalFormatting>
  <conditionalFormatting sqref="E35">
    <cfRule type="cellIs" dxfId="228" priority="244" stopIfTrue="1" operator="lessThan">
      <formula>E34</formula>
    </cfRule>
  </conditionalFormatting>
  <conditionalFormatting sqref="F35">
    <cfRule type="cellIs" dxfId="227" priority="243" stopIfTrue="1" operator="lessThan">
      <formula>F34</formula>
    </cfRule>
  </conditionalFormatting>
  <conditionalFormatting sqref="G35">
    <cfRule type="cellIs" dxfId="226" priority="242" stopIfTrue="1" operator="lessThan">
      <formula>G34</formula>
    </cfRule>
  </conditionalFormatting>
  <conditionalFormatting sqref="H35">
    <cfRule type="cellIs" dxfId="225" priority="241" stopIfTrue="1" operator="lessThan">
      <formula>H34</formula>
    </cfRule>
  </conditionalFormatting>
  <conditionalFormatting sqref="I35">
    <cfRule type="cellIs" dxfId="224" priority="240" stopIfTrue="1" operator="lessThan">
      <formula>I34</formula>
    </cfRule>
  </conditionalFormatting>
  <conditionalFormatting sqref="J35">
    <cfRule type="cellIs" dxfId="223" priority="239" stopIfTrue="1" operator="lessThan">
      <formula>J34</formula>
    </cfRule>
  </conditionalFormatting>
  <conditionalFormatting sqref="K35">
    <cfRule type="cellIs" dxfId="222" priority="238" stopIfTrue="1" operator="lessThan">
      <formula>K34</formula>
    </cfRule>
  </conditionalFormatting>
  <conditionalFormatting sqref="L35">
    <cfRule type="cellIs" dxfId="221" priority="237" stopIfTrue="1" operator="lessThan">
      <formula>L34</formula>
    </cfRule>
  </conditionalFormatting>
  <conditionalFormatting sqref="M35">
    <cfRule type="cellIs" dxfId="220" priority="236" stopIfTrue="1" operator="lessThan">
      <formula>M34</formula>
    </cfRule>
  </conditionalFormatting>
  <conditionalFormatting sqref="N35">
    <cfRule type="cellIs" dxfId="219" priority="235" stopIfTrue="1" operator="lessThan">
      <formula>N34</formula>
    </cfRule>
  </conditionalFormatting>
  <conditionalFormatting sqref="O35">
    <cfRule type="cellIs" dxfId="218" priority="234" stopIfTrue="1" operator="lessThan">
      <formula>O34</formula>
    </cfRule>
  </conditionalFormatting>
  <conditionalFormatting sqref="P35">
    <cfRule type="cellIs" dxfId="217" priority="233" stopIfTrue="1" operator="lessThan">
      <formula>P34</formula>
    </cfRule>
  </conditionalFormatting>
  <conditionalFormatting sqref="Q35">
    <cfRule type="cellIs" dxfId="216" priority="232" stopIfTrue="1" operator="lessThan">
      <formula>Q34</formula>
    </cfRule>
  </conditionalFormatting>
  <conditionalFormatting sqref="R35">
    <cfRule type="cellIs" dxfId="215" priority="231" stopIfTrue="1" operator="lessThan">
      <formula>R34</formula>
    </cfRule>
  </conditionalFormatting>
  <conditionalFormatting sqref="D59">
    <cfRule type="cellIs" dxfId="214" priority="230" stopIfTrue="1" operator="lessThan">
      <formula>D58</formula>
    </cfRule>
  </conditionalFormatting>
  <conditionalFormatting sqref="E59">
    <cfRule type="cellIs" dxfId="213" priority="229" stopIfTrue="1" operator="lessThan">
      <formula>E58</formula>
    </cfRule>
  </conditionalFormatting>
  <conditionalFormatting sqref="F59">
    <cfRule type="cellIs" dxfId="212" priority="228" stopIfTrue="1" operator="lessThan">
      <formula>F58</formula>
    </cfRule>
  </conditionalFormatting>
  <conditionalFormatting sqref="G59">
    <cfRule type="cellIs" dxfId="211" priority="227" stopIfTrue="1" operator="lessThan">
      <formula>G58</formula>
    </cfRule>
  </conditionalFormatting>
  <conditionalFormatting sqref="H59">
    <cfRule type="cellIs" dxfId="210" priority="226" stopIfTrue="1" operator="lessThan">
      <formula>H58</formula>
    </cfRule>
  </conditionalFormatting>
  <conditionalFormatting sqref="I59">
    <cfRule type="cellIs" dxfId="209" priority="225" stopIfTrue="1" operator="lessThan">
      <formula>I58</formula>
    </cfRule>
  </conditionalFormatting>
  <conditionalFormatting sqref="J59">
    <cfRule type="cellIs" dxfId="208" priority="224" stopIfTrue="1" operator="lessThan">
      <formula>J58</formula>
    </cfRule>
  </conditionalFormatting>
  <conditionalFormatting sqref="K59">
    <cfRule type="cellIs" dxfId="207" priority="223" stopIfTrue="1" operator="lessThan">
      <formula>K58</formula>
    </cfRule>
  </conditionalFormatting>
  <conditionalFormatting sqref="L59">
    <cfRule type="cellIs" dxfId="206" priority="222" stopIfTrue="1" operator="lessThan">
      <formula>L58</formula>
    </cfRule>
  </conditionalFormatting>
  <conditionalFormatting sqref="M59">
    <cfRule type="cellIs" dxfId="205" priority="221" stopIfTrue="1" operator="lessThan">
      <formula>M58</formula>
    </cfRule>
  </conditionalFormatting>
  <conditionalFormatting sqref="N59">
    <cfRule type="cellIs" dxfId="204" priority="220" stopIfTrue="1" operator="lessThan">
      <formula>N58</formula>
    </cfRule>
  </conditionalFormatting>
  <conditionalFormatting sqref="O59">
    <cfRule type="cellIs" dxfId="203" priority="219" stopIfTrue="1" operator="lessThan">
      <formula>O58</formula>
    </cfRule>
  </conditionalFormatting>
  <conditionalFormatting sqref="P59">
    <cfRule type="cellIs" dxfId="202" priority="218" stopIfTrue="1" operator="lessThan">
      <formula>P58</formula>
    </cfRule>
  </conditionalFormatting>
  <conditionalFormatting sqref="Q59">
    <cfRule type="cellIs" dxfId="201" priority="217" stopIfTrue="1" operator="lessThan">
      <formula>Q58</formula>
    </cfRule>
  </conditionalFormatting>
  <conditionalFormatting sqref="R59">
    <cfRule type="cellIs" dxfId="200" priority="216" stopIfTrue="1" operator="lessThan">
      <formula>R58</formula>
    </cfRule>
  </conditionalFormatting>
  <conditionalFormatting sqref="D69">
    <cfRule type="cellIs" dxfId="199" priority="215" stopIfTrue="1" operator="lessThan">
      <formula>D68</formula>
    </cfRule>
  </conditionalFormatting>
  <conditionalFormatting sqref="E69">
    <cfRule type="cellIs" dxfId="198" priority="214" stopIfTrue="1" operator="lessThan">
      <formula>E68</formula>
    </cfRule>
  </conditionalFormatting>
  <conditionalFormatting sqref="F69">
    <cfRule type="cellIs" dxfId="197" priority="213" stopIfTrue="1" operator="lessThan">
      <formula>F68</formula>
    </cfRule>
  </conditionalFormatting>
  <conditionalFormatting sqref="G69">
    <cfRule type="cellIs" dxfId="196" priority="212" stopIfTrue="1" operator="lessThan">
      <formula>G68</formula>
    </cfRule>
  </conditionalFormatting>
  <conditionalFormatting sqref="H69">
    <cfRule type="cellIs" dxfId="195" priority="211" stopIfTrue="1" operator="lessThan">
      <formula>H68</formula>
    </cfRule>
  </conditionalFormatting>
  <conditionalFormatting sqref="I69">
    <cfRule type="cellIs" dxfId="194" priority="210" stopIfTrue="1" operator="lessThan">
      <formula>I68</formula>
    </cfRule>
  </conditionalFormatting>
  <conditionalFormatting sqref="J69">
    <cfRule type="cellIs" dxfId="193" priority="209" stopIfTrue="1" operator="lessThan">
      <formula>J68</formula>
    </cfRule>
  </conditionalFormatting>
  <conditionalFormatting sqref="K69">
    <cfRule type="cellIs" dxfId="192" priority="208" stopIfTrue="1" operator="lessThan">
      <formula>K68</formula>
    </cfRule>
  </conditionalFormatting>
  <conditionalFormatting sqref="L69">
    <cfRule type="cellIs" dxfId="191" priority="207" stopIfTrue="1" operator="lessThan">
      <formula>L68</formula>
    </cfRule>
  </conditionalFormatting>
  <conditionalFormatting sqref="M69">
    <cfRule type="cellIs" dxfId="190" priority="206" stopIfTrue="1" operator="lessThan">
      <formula>M68</formula>
    </cfRule>
  </conditionalFormatting>
  <conditionalFormatting sqref="N69">
    <cfRule type="cellIs" dxfId="189" priority="205" stopIfTrue="1" operator="lessThan">
      <formula>N68</formula>
    </cfRule>
  </conditionalFormatting>
  <conditionalFormatting sqref="O69">
    <cfRule type="cellIs" dxfId="188" priority="204" stopIfTrue="1" operator="lessThan">
      <formula>O68</formula>
    </cfRule>
  </conditionalFormatting>
  <conditionalFormatting sqref="P69">
    <cfRule type="cellIs" dxfId="187" priority="203" stopIfTrue="1" operator="lessThan">
      <formula>P68</formula>
    </cfRule>
  </conditionalFormatting>
  <conditionalFormatting sqref="Q69">
    <cfRule type="cellIs" dxfId="186" priority="202" stopIfTrue="1" operator="lessThan">
      <formula>Q68</formula>
    </cfRule>
  </conditionalFormatting>
  <conditionalFormatting sqref="R69">
    <cfRule type="cellIs" dxfId="185" priority="201" stopIfTrue="1" operator="lessThan">
      <formula>R68</formula>
    </cfRule>
  </conditionalFormatting>
  <conditionalFormatting sqref="D79">
    <cfRule type="cellIs" dxfId="184" priority="200" stopIfTrue="1" operator="lessThan">
      <formula>D78</formula>
    </cfRule>
  </conditionalFormatting>
  <conditionalFormatting sqref="E79">
    <cfRule type="cellIs" dxfId="183" priority="199" stopIfTrue="1" operator="lessThan">
      <formula>E78</formula>
    </cfRule>
  </conditionalFormatting>
  <conditionalFormatting sqref="F79">
    <cfRule type="cellIs" dxfId="182" priority="198" stopIfTrue="1" operator="lessThan">
      <formula>F78</formula>
    </cfRule>
  </conditionalFormatting>
  <conditionalFormatting sqref="G79">
    <cfRule type="cellIs" dxfId="181" priority="197" stopIfTrue="1" operator="lessThan">
      <formula>G78</formula>
    </cfRule>
  </conditionalFormatting>
  <conditionalFormatting sqref="H79">
    <cfRule type="cellIs" dxfId="180" priority="196" stopIfTrue="1" operator="lessThan">
      <formula>H78</formula>
    </cfRule>
  </conditionalFormatting>
  <conditionalFormatting sqref="I79">
    <cfRule type="cellIs" dxfId="179" priority="195" stopIfTrue="1" operator="lessThan">
      <formula>I78</formula>
    </cfRule>
  </conditionalFormatting>
  <conditionalFormatting sqref="J79">
    <cfRule type="cellIs" dxfId="178" priority="194" stopIfTrue="1" operator="lessThan">
      <formula>J78</formula>
    </cfRule>
  </conditionalFormatting>
  <conditionalFormatting sqref="K79">
    <cfRule type="cellIs" dxfId="177" priority="193" stopIfTrue="1" operator="lessThan">
      <formula>K78</formula>
    </cfRule>
  </conditionalFormatting>
  <conditionalFormatting sqref="L79">
    <cfRule type="cellIs" dxfId="176" priority="192" stopIfTrue="1" operator="lessThan">
      <formula>L78</formula>
    </cfRule>
  </conditionalFormatting>
  <conditionalFormatting sqref="M79">
    <cfRule type="cellIs" dxfId="175" priority="191" stopIfTrue="1" operator="lessThan">
      <formula>M78</formula>
    </cfRule>
  </conditionalFormatting>
  <conditionalFormatting sqref="N79">
    <cfRule type="cellIs" dxfId="174" priority="190" stopIfTrue="1" operator="lessThan">
      <formula>N78</formula>
    </cfRule>
  </conditionalFormatting>
  <conditionalFormatting sqref="O79">
    <cfRule type="cellIs" dxfId="173" priority="189" stopIfTrue="1" operator="lessThan">
      <formula>O78</formula>
    </cfRule>
  </conditionalFormatting>
  <conditionalFormatting sqref="P79">
    <cfRule type="cellIs" dxfId="172" priority="188" stopIfTrue="1" operator="lessThan">
      <formula>P78</formula>
    </cfRule>
  </conditionalFormatting>
  <conditionalFormatting sqref="Q79">
    <cfRule type="cellIs" dxfId="171" priority="187" stopIfTrue="1" operator="lessThan">
      <formula>Q78</formula>
    </cfRule>
  </conditionalFormatting>
  <conditionalFormatting sqref="R79">
    <cfRule type="cellIs" dxfId="170" priority="186" stopIfTrue="1" operator="lessThan">
      <formula>R78</formula>
    </cfRule>
  </conditionalFormatting>
  <conditionalFormatting sqref="D89">
    <cfRule type="cellIs" dxfId="169" priority="185" stopIfTrue="1" operator="lessThan">
      <formula>D88</formula>
    </cfRule>
  </conditionalFormatting>
  <conditionalFormatting sqref="E89">
    <cfRule type="cellIs" dxfId="168" priority="184" stopIfTrue="1" operator="lessThan">
      <formula>E88</formula>
    </cfRule>
  </conditionalFormatting>
  <conditionalFormatting sqref="F89">
    <cfRule type="cellIs" dxfId="167" priority="183" stopIfTrue="1" operator="lessThan">
      <formula>F88</formula>
    </cfRule>
  </conditionalFormatting>
  <conditionalFormatting sqref="G89">
    <cfRule type="cellIs" dxfId="166" priority="182" stopIfTrue="1" operator="lessThan">
      <formula>G88</formula>
    </cfRule>
  </conditionalFormatting>
  <conditionalFormatting sqref="H89">
    <cfRule type="cellIs" dxfId="165" priority="181" stopIfTrue="1" operator="lessThan">
      <formula>H88</formula>
    </cfRule>
  </conditionalFormatting>
  <conditionalFormatting sqref="I89">
    <cfRule type="cellIs" dxfId="164" priority="180" stopIfTrue="1" operator="lessThan">
      <formula>I88</formula>
    </cfRule>
  </conditionalFormatting>
  <conditionalFormatting sqref="J89">
    <cfRule type="cellIs" dxfId="163" priority="179" stopIfTrue="1" operator="lessThan">
      <formula>J88</formula>
    </cfRule>
  </conditionalFormatting>
  <conditionalFormatting sqref="K89">
    <cfRule type="cellIs" dxfId="162" priority="178" stopIfTrue="1" operator="lessThan">
      <formula>K88</formula>
    </cfRule>
  </conditionalFormatting>
  <conditionalFormatting sqref="L89">
    <cfRule type="cellIs" dxfId="161" priority="177" stopIfTrue="1" operator="lessThan">
      <formula>L88</formula>
    </cfRule>
  </conditionalFormatting>
  <conditionalFormatting sqref="M89">
    <cfRule type="cellIs" dxfId="160" priority="176" stopIfTrue="1" operator="lessThan">
      <formula>M88</formula>
    </cfRule>
  </conditionalFormatting>
  <conditionalFormatting sqref="N89">
    <cfRule type="cellIs" dxfId="159" priority="175" stopIfTrue="1" operator="lessThan">
      <formula>N88</formula>
    </cfRule>
  </conditionalFormatting>
  <conditionalFormatting sqref="O89">
    <cfRule type="cellIs" dxfId="158" priority="174" stopIfTrue="1" operator="lessThan">
      <formula>O88</formula>
    </cfRule>
  </conditionalFormatting>
  <conditionalFormatting sqref="P89">
    <cfRule type="cellIs" dxfId="157" priority="173" stopIfTrue="1" operator="lessThan">
      <formula>P88</formula>
    </cfRule>
  </conditionalFormatting>
  <conditionalFormatting sqref="Q89">
    <cfRule type="cellIs" dxfId="156" priority="172" stopIfTrue="1" operator="lessThan">
      <formula>Q88</formula>
    </cfRule>
  </conditionalFormatting>
  <conditionalFormatting sqref="R89">
    <cfRule type="cellIs" dxfId="155" priority="171" stopIfTrue="1" operator="lessThan">
      <formula>R88</formula>
    </cfRule>
  </conditionalFormatting>
  <conditionalFormatting sqref="D117">
    <cfRule type="cellIs" dxfId="154" priority="170" stopIfTrue="1" operator="lessThan">
      <formula>D116</formula>
    </cfRule>
  </conditionalFormatting>
  <conditionalFormatting sqref="E117">
    <cfRule type="cellIs" dxfId="153" priority="169" stopIfTrue="1" operator="lessThan">
      <formula>E116</formula>
    </cfRule>
  </conditionalFormatting>
  <conditionalFormatting sqref="F117">
    <cfRule type="cellIs" dxfId="152" priority="168" stopIfTrue="1" operator="lessThan">
      <formula>F116</formula>
    </cfRule>
  </conditionalFormatting>
  <conditionalFormatting sqref="G117">
    <cfRule type="cellIs" dxfId="151" priority="167" stopIfTrue="1" operator="lessThan">
      <formula>G116</formula>
    </cfRule>
  </conditionalFormatting>
  <conditionalFormatting sqref="H117">
    <cfRule type="cellIs" dxfId="150" priority="166" stopIfTrue="1" operator="lessThan">
      <formula>H116</formula>
    </cfRule>
  </conditionalFormatting>
  <conditionalFormatting sqref="I117">
    <cfRule type="cellIs" dxfId="149" priority="165" stopIfTrue="1" operator="lessThan">
      <formula>I116</formula>
    </cfRule>
  </conditionalFormatting>
  <conditionalFormatting sqref="J117">
    <cfRule type="cellIs" dxfId="148" priority="164" stopIfTrue="1" operator="lessThan">
      <formula>J116</formula>
    </cfRule>
  </conditionalFormatting>
  <conditionalFormatting sqref="K117">
    <cfRule type="cellIs" dxfId="147" priority="163" stopIfTrue="1" operator="lessThan">
      <formula>K116</formula>
    </cfRule>
  </conditionalFormatting>
  <conditionalFormatting sqref="L117">
    <cfRule type="cellIs" dxfId="146" priority="162" stopIfTrue="1" operator="lessThan">
      <formula>L116</formula>
    </cfRule>
  </conditionalFormatting>
  <conditionalFormatting sqref="M117">
    <cfRule type="cellIs" dxfId="145" priority="161" stopIfTrue="1" operator="lessThan">
      <formula>M116</formula>
    </cfRule>
  </conditionalFormatting>
  <conditionalFormatting sqref="N117">
    <cfRule type="cellIs" dxfId="144" priority="160" stopIfTrue="1" operator="lessThan">
      <formula>N116</formula>
    </cfRule>
  </conditionalFormatting>
  <conditionalFormatting sqref="O117">
    <cfRule type="cellIs" dxfId="143" priority="159" stopIfTrue="1" operator="lessThan">
      <formula>O116</formula>
    </cfRule>
  </conditionalFormatting>
  <conditionalFormatting sqref="P117">
    <cfRule type="cellIs" dxfId="142" priority="158" stopIfTrue="1" operator="lessThan">
      <formula>P116</formula>
    </cfRule>
  </conditionalFormatting>
  <conditionalFormatting sqref="Q117">
    <cfRule type="cellIs" dxfId="141" priority="157" stopIfTrue="1" operator="lessThan">
      <formula>Q116</formula>
    </cfRule>
  </conditionalFormatting>
  <conditionalFormatting sqref="R117">
    <cfRule type="cellIs" dxfId="140" priority="156" stopIfTrue="1" operator="lessThan">
      <formula>R116</formula>
    </cfRule>
  </conditionalFormatting>
  <conditionalFormatting sqref="D127">
    <cfRule type="cellIs" dxfId="139" priority="155" stopIfTrue="1" operator="lessThan">
      <formula>D126</formula>
    </cfRule>
  </conditionalFormatting>
  <conditionalFormatting sqref="E127">
    <cfRule type="cellIs" dxfId="138" priority="154" stopIfTrue="1" operator="lessThan">
      <formula>E126</formula>
    </cfRule>
  </conditionalFormatting>
  <conditionalFormatting sqref="F127">
    <cfRule type="cellIs" dxfId="137" priority="153" stopIfTrue="1" operator="lessThan">
      <formula>F126</formula>
    </cfRule>
  </conditionalFormatting>
  <conditionalFormatting sqref="G127">
    <cfRule type="cellIs" dxfId="136" priority="152" stopIfTrue="1" operator="lessThan">
      <formula>G126</formula>
    </cfRule>
  </conditionalFormatting>
  <conditionalFormatting sqref="H127">
    <cfRule type="cellIs" dxfId="135" priority="151" stopIfTrue="1" operator="lessThan">
      <formula>H126</formula>
    </cfRule>
  </conditionalFormatting>
  <conditionalFormatting sqref="I127">
    <cfRule type="cellIs" dxfId="134" priority="150" stopIfTrue="1" operator="lessThan">
      <formula>I126</formula>
    </cfRule>
  </conditionalFormatting>
  <conditionalFormatting sqref="J127">
    <cfRule type="cellIs" dxfId="133" priority="149" stopIfTrue="1" operator="lessThan">
      <formula>J126</formula>
    </cfRule>
  </conditionalFormatting>
  <conditionalFormatting sqref="K127">
    <cfRule type="cellIs" dxfId="132" priority="148" stopIfTrue="1" operator="lessThan">
      <formula>K126</formula>
    </cfRule>
  </conditionalFormatting>
  <conditionalFormatting sqref="L127">
    <cfRule type="cellIs" dxfId="131" priority="147" stopIfTrue="1" operator="lessThan">
      <formula>L126</formula>
    </cfRule>
  </conditionalFormatting>
  <conditionalFormatting sqref="M127">
    <cfRule type="cellIs" dxfId="130" priority="146" stopIfTrue="1" operator="lessThan">
      <formula>M126</formula>
    </cfRule>
  </conditionalFormatting>
  <conditionalFormatting sqref="N127">
    <cfRule type="cellIs" dxfId="129" priority="145" stopIfTrue="1" operator="lessThan">
      <formula>N126</formula>
    </cfRule>
  </conditionalFormatting>
  <conditionalFormatting sqref="O127">
    <cfRule type="cellIs" dxfId="128" priority="144" stopIfTrue="1" operator="lessThan">
      <formula>O126</formula>
    </cfRule>
  </conditionalFormatting>
  <conditionalFormatting sqref="P127">
    <cfRule type="cellIs" dxfId="127" priority="143" stopIfTrue="1" operator="lessThan">
      <formula>P126</formula>
    </cfRule>
  </conditionalFormatting>
  <conditionalFormatting sqref="Q127">
    <cfRule type="cellIs" dxfId="126" priority="142" stopIfTrue="1" operator="lessThan">
      <formula>Q126</formula>
    </cfRule>
  </conditionalFormatting>
  <conditionalFormatting sqref="R127">
    <cfRule type="cellIs" dxfId="125" priority="141" stopIfTrue="1" operator="lessThan">
      <formula>R126</formula>
    </cfRule>
  </conditionalFormatting>
  <conditionalFormatting sqref="D137">
    <cfRule type="cellIs" dxfId="124" priority="140" stopIfTrue="1" operator="lessThan">
      <formula>D136</formula>
    </cfRule>
  </conditionalFormatting>
  <conditionalFormatting sqref="E137">
    <cfRule type="cellIs" dxfId="123" priority="139" stopIfTrue="1" operator="lessThan">
      <formula>E136</formula>
    </cfRule>
  </conditionalFormatting>
  <conditionalFormatting sqref="F137">
    <cfRule type="cellIs" dxfId="122" priority="138" stopIfTrue="1" operator="lessThan">
      <formula>F136</formula>
    </cfRule>
  </conditionalFormatting>
  <conditionalFormatting sqref="G137">
    <cfRule type="cellIs" dxfId="121" priority="137" stopIfTrue="1" operator="lessThan">
      <formula>G136</formula>
    </cfRule>
  </conditionalFormatting>
  <conditionalFormatting sqref="H137">
    <cfRule type="cellIs" dxfId="120" priority="136" stopIfTrue="1" operator="lessThan">
      <formula>H136</formula>
    </cfRule>
  </conditionalFormatting>
  <conditionalFormatting sqref="I137">
    <cfRule type="cellIs" dxfId="119" priority="135" stopIfTrue="1" operator="lessThan">
      <formula>I136</formula>
    </cfRule>
  </conditionalFormatting>
  <conditionalFormatting sqref="J137">
    <cfRule type="cellIs" dxfId="118" priority="134" stopIfTrue="1" operator="lessThan">
      <formula>J136</formula>
    </cfRule>
  </conditionalFormatting>
  <conditionalFormatting sqref="K137">
    <cfRule type="cellIs" dxfId="117" priority="133" stopIfTrue="1" operator="lessThan">
      <formula>K136</formula>
    </cfRule>
  </conditionalFormatting>
  <conditionalFormatting sqref="L137">
    <cfRule type="cellIs" dxfId="116" priority="132" stopIfTrue="1" operator="lessThan">
      <formula>L136</formula>
    </cfRule>
  </conditionalFormatting>
  <conditionalFormatting sqref="M137">
    <cfRule type="cellIs" dxfId="115" priority="131" stopIfTrue="1" operator="lessThan">
      <formula>M136</formula>
    </cfRule>
  </conditionalFormatting>
  <conditionalFormatting sqref="N137">
    <cfRule type="cellIs" dxfId="114" priority="130" stopIfTrue="1" operator="lessThan">
      <formula>N136</formula>
    </cfRule>
  </conditionalFormatting>
  <conditionalFormatting sqref="O137">
    <cfRule type="cellIs" dxfId="113" priority="129" stopIfTrue="1" operator="lessThan">
      <formula>O136</formula>
    </cfRule>
  </conditionalFormatting>
  <conditionalFormatting sqref="P137">
    <cfRule type="cellIs" dxfId="112" priority="128" stopIfTrue="1" operator="lessThan">
      <formula>P136</formula>
    </cfRule>
  </conditionalFormatting>
  <conditionalFormatting sqref="Q137">
    <cfRule type="cellIs" dxfId="111" priority="127" stopIfTrue="1" operator="lessThan">
      <formula>Q136</formula>
    </cfRule>
  </conditionalFormatting>
  <conditionalFormatting sqref="R137">
    <cfRule type="cellIs" dxfId="110" priority="126" stopIfTrue="1" operator="lessThan">
      <formula>R136</formula>
    </cfRule>
  </conditionalFormatting>
  <conditionalFormatting sqref="D147">
    <cfRule type="cellIs" dxfId="109" priority="125" stopIfTrue="1" operator="lessThan">
      <formula>D146</formula>
    </cfRule>
  </conditionalFormatting>
  <conditionalFormatting sqref="E147">
    <cfRule type="cellIs" dxfId="108" priority="124" stopIfTrue="1" operator="lessThan">
      <formula>E146</formula>
    </cfRule>
  </conditionalFormatting>
  <conditionalFormatting sqref="F147">
    <cfRule type="cellIs" dxfId="107" priority="123" stopIfTrue="1" operator="lessThan">
      <formula>F146</formula>
    </cfRule>
  </conditionalFormatting>
  <conditionalFormatting sqref="G147">
    <cfRule type="cellIs" dxfId="106" priority="122" stopIfTrue="1" operator="lessThan">
      <formula>G146</formula>
    </cfRule>
  </conditionalFormatting>
  <conditionalFormatting sqref="H147">
    <cfRule type="cellIs" dxfId="105" priority="121" stopIfTrue="1" operator="lessThan">
      <formula>H146</formula>
    </cfRule>
  </conditionalFormatting>
  <conditionalFormatting sqref="I147">
    <cfRule type="cellIs" dxfId="104" priority="120" stopIfTrue="1" operator="lessThan">
      <formula>I146</formula>
    </cfRule>
  </conditionalFormatting>
  <conditionalFormatting sqref="J147">
    <cfRule type="cellIs" dxfId="103" priority="119" stopIfTrue="1" operator="lessThan">
      <formula>J146</formula>
    </cfRule>
  </conditionalFormatting>
  <conditionalFormatting sqref="K147">
    <cfRule type="cellIs" dxfId="102" priority="118" stopIfTrue="1" operator="lessThan">
      <formula>K146</formula>
    </cfRule>
  </conditionalFormatting>
  <conditionalFormatting sqref="L147">
    <cfRule type="cellIs" dxfId="101" priority="117" stopIfTrue="1" operator="lessThan">
      <formula>L146</formula>
    </cfRule>
  </conditionalFormatting>
  <conditionalFormatting sqref="M147">
    <cfRule type="cellIs" dxfId="100" priority="116" stopIfTrue="1" operator="lessThan">
      <formula>M146</formula>
    </cfRule>
  </conditionalFormatting>
  <conditionalFormatting sqref="N147">
    <cfRule type="cellIs" dxfId="99" priority="115" stopIfTrue="1" operator="lessThan">
      <formula>N146</formula>
    </cfRule>
  </conditionalFormatting>
  <conditionalFormatting sqref="O147">
    <cfRule type="cellIs" dxfId="98" priority="114" stopIfTrue="1" operator="lessThan">
      <formula>O146</formula>
    </cfRule>
  </conditionalFormatting>
  <conditionalFormatting sqref="P147">
    <cfRule type="cellIs" dxfId="97" priority="113" stopIfTrue="1" operator="lessThan">
      <formula>P146</formula>
    </cfRule>
  </conditionalFormatting>
  <conditionalFormatting sqref="Q147">
    <cfRule type="cellIs" dxfId="96" priority="112" stopIfTrue="1" operator="lessThan">
      <formula>Q146</formula>
    </cfRule>
  </conditionalFormatting>
  <conditionalFormatting sqref="R147">
    <cfRule type="cellIs" dxfId="95" priority="111" stopIfTrue="1" operator="lessThan">
      <formula>R146</formula>
    </cfRule>
  </conditionalFormatting>
  <conditionalFormatting sqref="D165">
    <cfRule type="cellIs" dxfId="94" priority="110" stopIfTrue="1" operator="lessThan">
      <formula>D164</formula>
    </cfRule>
  </conditionalFormatting>
  <conditionalFormatting sqref="E165">
    <cfRule type="cellIs" dxfId="93" priority="109" stopIfTrue="1" operator="lessThan">
      <formula>E164</formula>
    </cfRule>
  </conditionalFormatting>
  <conditionalFormatting sqref="F165">
    <cfRule type="cellIs" dxfId="92" priority="108" stopIfTrue="1" operator="lessThan">
      <formula>F164</formula>
    </cfRule>
  </conditionalFormatting>
  <conditionalFormatting sqref="G165">
    <cfRule type="cellIs" dxfId="91" priority="107" stopIfTrue="1" operator="lessThan">
      <formula>G164</formula>
    </cfRule>
  </conditionalFormatting>
  <conditionalFormatting sqref="H165">
    <cfRule type="cellIs" dxfId="90" priority="106" stopIfTrue="1" operator="lessThan">
      <formula>H164</formula>
    </cfRule>
  </conditionalFormatting>
  <conditionalFormatting sqref="I165">
    <cfRule type="cellIs" dxfId="89" priority="105" stopIfTrue="1" operator="lessThan">
      <formula>I164</formula>
    </cfRule>
  </conditionalFormatting>
  <conditionalFormatting sqref="J165">
    <cfRule type="cellIs" dxfId="88" priority="104" stopIfTrue="1" operator="lessThan">
      <formula>J164</formula>
    </cfRule>
  </conditionalFormatting>
  <conditionalFormatting sqref="K165">
    <cfRule type="cellIs" dxfId="87" priority="103" stopIfTrue="1" operator="lessThan">
      <formula>K164</formula>
    </cfRule>
  </conditionalFormatting>
  <conditionalFormatting sqref="L165">
    <cfRule type="cellIs" dxfId="86" priority="102" stopIfTrue="1" operator="lessThan">
      <formula>L164</formula>
    </cfRule>
  </conditionalFormatting>
  <conditionalFormatting sqref="M165">
    <cfRule type="cellIs" dxfId="85" priority="101" stopIfTrue="1" operator="lessThan">
      <formula>M164</formula>
    </cfRule>
  </conditionalFormatting>
  <conditionalFormatting sqref="N165">
    <cfRule type="cellIs" dxfId="84" priority="100" stopIfTrue="1" operator="lessThan">
      <formula>N164</formula>
    </cfRule>
  </conditionalFormatting>
  <conditionalFormatting sqref="O165">
    <cfRule type="cellIs" dxfId="83" priority="99" stopIfTrue="1" operator="lessThan">
      <formula>O164</formula>
    </cfRule>
  </conditionalFormatting>
  <conditionalFormatting sqref="P165">
    <cfRule type="cellIs" dxfId="82" priority="98" stopIfTrue="1" operator="lessThan">
      <formula>P164</formula>
    </cfRule>
  </conditionalFormatting>
  <conditionalFormatting sqref="Q165">
    <cfRule type="cellIs" dxfId="81" priority="97" stopIfTrue="1" operator="lessThan">
      <formula>Q164</formula>
    </cfRule>
  </conditionalFormatting>
  <conditionalFormatting sqref="R165">
    <cfRule type="cellIs" dxfId="80" priority="96" stopIfTrue="1" operator="lessThan">
      <formula>R164</formula>
    </cfRule>
  </conditionalFormatting>
  <conditionalFormatting sqref="D175">
    <cfRule type="cellIs" dxfId="79" priority="95" stopIfTrue="1" operator="lessThan">
      <formula>D174</formula>
    </cfRule>
  </conditionalFormatting>
  <conditionalFormatting sqref="E175">
    <cfRule type="cellIs" dxfId="78" priority="94" stopIfTrue="1" operator="lessThan">
      <formula>E174</formula>
    </cfRule>
  </conditionalFormatting>
  <conditionalFormatting sqref="F175">
    <cfRule type="cellIs" dxfId="77" priority="93" stopIfTrue="1" operator="lessThan">
      <formula>F174</formula>
    </cfRule>
  </conditionalFormatting>
  <conditionalFormatting sqref="G175">
    <cfRule type="cellIs" dxfId="76" priority="92" stopIfTrue="1" operator="lessThan">
      <formula>G174</formula>
    </cfRule>
  </conditionalFormatting>
  <conditionalFormatting sqref="H175">
    <cfRule type="cellIs" dxfId="75" priority="91" stopIfTrue="1" operator="lessThan">
      <formula>H174</formula>
    </cfRule>
  </conditionalFormatting>
  <conditionalFormatting sqref="I175">
    <cfRule type="cellIs" dxfId="74" priority="90" stopIfTrue="1" operator="lessThan">
      <formula>I174</formula>
    </cfRule>
  </conditionalFormatting>
  <conditionalFormatting sqref="J175">
    <cfRule type="cellIs" dxfId="73" priority="89" stopIfTrue="1" operator="lessThan">
      <formula>J174</formula>
    </cfRule>
  </conditionalFormatting>
  <conditionalFormatting sqref="K175">
    <cfRule type="cellIs" dxfId="72" priority="88" stopIfTrue="1" operator="lessThan">
      <formula>K174</formula>
    </cfRule>
  </conditionalFormatting>
  <conditionalFormatting sqref="L175">
    <cfRule type="cellIs" dxfId="71" priority="87" stopIfTrue="1" operator="lessThan">
      <formula>L174</formula>
    </cfRule>
  </conditionalFormatting>
  <conditionalFormatting sqref="M175">
    <cfRule type="cellIs" dxfId="70" priority="86" stopIfTrue="1" operator="lessThan">
      <formula>M174</formula>
    </cfRule>
  </conditionalFormatting>
  <conditionalFormatting sqref="N175">
    <cfRule type="cellIs" dxfId="69" priority="85" stopIfTrue="1" operator="lessThan">
      <formula>N174</formula>
    </cfRule>
  </conditionalFormatting>
  <conditionalFormatting sqref="O175">
    <cfRule type="cellIs" dxfId="68" priority="84" stopIfTrue="1" operator="lessThan">
      <formula>O174</formula>
    </cfRule>
  </conditionalFormatting>
  <conditionalFormatting sqref="P175">
    <cfRule type="cellIs" dxfId="67" priority="83" stopIfTrue="1" operator="lessThan">
      <formula>P174</formula>
    </cfRule>
  </conditionalFormatting>
  <conditionalFormatting sqref="Q175">
    <cfRule type="cellIs" dxfId="66" priority="82" stopIfTrue="1" operator="lessThan">
      <formula>Q174</formula>
    </cfRule>
  </conditionalFormatting>
  <conditionalFormatting sqref="R175">
    <cfRule type="cellIs" dxfId="65" priority="81" stopIfTrue="1" operator="lessThan">
      <formula>R174</formula>
    </cfRule>
  </conditionalFormatting>
  <conditionalFormatting sqref="D185">
    <cfRule type="cellIs" dxfId="64" priority="80" stopIfTrue="1" operator="lessThan">
      <formula>D184</formula>
    </cfRule>
  </conditionalFormatting>
  <conditionalFormatting sqref="E185">
    <cfRule type="cellIs" dxfId="63" priority="79" stopIfTrue="1" operator="lessThan">
      <formula>E184</formula>
    </cfRule>
  </conditionalFormatting>
  <conditionalFormatting sqref="F185">
    <cfRule type="cellIs" dxfId="62" priority="78" stopIfTrue="1" operator="lessThan">
      <formula>F184</formula>
    </cfRule>
  </conditionalFormatting>
  <conditionalFormatting sqref="G185">
    <cfRule type="cellIs" dxfId="61" priority="77" stopIfTrue="1" operator="lessThan">
      <formula>G184</formula>
    </cfRule>
  </conditionalFormatting>
  <conditionalFormatting sqref="H185">
    <cfRule type="cellIs" dxfId="60" priority="76" stopIfTrue="1" operator="lessThan">
      <formula>H184</formula>
    </cfRule>
  </conditionalFormatting>
  <conditionalFormatting sqref="I185">
    <cfRule type="cellIs" dxfId="59" priority="75" stopIfTrue="1" operator="lessThan">
      <formula>I184</formula>
    </cfRule>
  </conditionalFormatting>
  <conditionalFormatting sqref="J185">
    <cfRule type="cellIs" dxfId="58" priority="74" stopIfTrue="1" operator="lessThan">
      <formula>J184</formula>
    </cfRule>
  </conditionalFormatting>
  <conditionalFormatting sqref="K185">
    <cfRule type="cellIs" dxfId="57" priority="73" stopIfTrue="1" operator="lessThan">
      <formula>K184</formula>
    </cfRule>
  </conditionalFormatting>
  <conditionalFormatting sqref="L185">
    <cfRule type="cellIs" dxfId="56" priority="72" stopIfTrue="1" operator="lessThan">
      <formula>L184</formula>
    </cfRule>
  </conditionalFormatting>
  <conditionalFormatting sqref="M185">
    <cfRule type="cellIs" dxfId="55" priority="71" stopIfTrue="1" operator="lessThan">
      <formula>M184</formula>
    </cfRule>
  </conditionalFormatting>
  <conditionalFormatting sqref="N185">
    <cfRule type="cellIs" dxfId="54" priority="70" stopIfTrue="1" operator="lessThan">
      <formula>N184</formula>
    </cfRule>
  </conditionalFormatting>
  <conditionalFormatting sqref="O185">
    <cfRule type="cellIs" dxfId="53" priority="69" stopIfTrue="1" operator="lessThan">
      <formula>O184</formula>
    </cfRule>
  </conditionalFormatting>
  <conditionalFormatting sqref="P185">
    <cfRule type="cellIs" dxfId="52" priority="68" stopIfTrue="1" operator="lessThan">
      <formula>P184</formula>
    </cfRule>
  </conditionalFormatting>
  <conditionalFormatting sqref="Q185">
    <cfRule type="cellIs" dxfId="51" priority="67" stopIfTrue="1" operator="lessThan">
      <formula>Q184</formula>
    </cfRule>
  </conditionalFormatting>
  <conditionalFormatting sqref="R185">
    <cfRule type="cellIs" dxfId="50" priority="66" stopIfTrue="1" operator="lessThan">
      <formula>R184</formula>
    </cfRule>
  </conditionalFormatting>
  <conditionalFormatting sqref="D195">
    <cfRule type="cellIs" dxfId="49" priority="65" stopIfTrue="1" operator="lessThan">
      <formula>D194</formula>
    </cfRule>
  </conditionalFormatting>
  <conditionalFormatting sqref="E195">
    <cfRule type="cellIs" dxfId="48" priority="64" stopIfTrue="1" operator="lessThan">
      <formula>E194</formula>
    </cfRule>
  </conditionalFormatting>
  <conditionalFormatting sqref="F195">
    <cfRule type="cellIs" dxfId="47" priority="63" stopIfTrue="1" operator="lessThan">
      <formula>F194</formula>
    </cfRule>
  </conditionalFormatting>
  <conditionalFormatting sqref="G195">
    <cfRule type="cellIs" dxfId="46" priority="62" stopIfTrue="1" operator="lessThan">
      <formula>G194</formula>
    </cfRule>
  </conditionalFormatting>
  <conditionalFormatting sqref="H195">
    <cfRule type="cellIs" dxfId="45" priority="61" stopIfTrue="1" operator="lessThan">
      <formula>H194</formula>
    </cfRule>
  </conditionalFormatting>
  <conditionalFormatting sqref="I195">
    <cfRule type="cellIs" dxfId="44" priority="60" stopIfTrue="1" operator="lessThan">
      <formula>I194</formula>
    </cfRule>
  </conditionalFormatting>
  <conditionalFormatting sqref="J195">
    <cfRule type="cellIs" dxfId="43" priority="59" stopIfTrue="1" operator="lessThan">
      <formula>J194</formula>
    </cfRule>
  </conditionalFormatting>
  <conditionalFormatting sqref="K195">
    <cfRule type="cellIs" dxfId="42" priority="58" stopIfTrue="1" operator="lessThan">
      <formula>K194</formula>
    </cfRule>
  </conditionalFormatting>
  <conditionalFormatting sqref="L195">
    <cfRule type="cellIs" dxfId="41" priority="57" stopIfTrue="1" operator="lessThan">
      <formula>L194</formula>
    </cfRule>
  </conditionalFormatting>
  <conditionalFormatting sqref="M195">
    <cfRule type="cellIs" dxfId="40" priority="56" stopIfTrue="1" operator="lessThan">
      <formula>M194</formula>
    </cfRule>
  </conditionalFormatting>
  <conditionalFormatting sqref="N195">
    <cfRule type="cellIs" dxfId="39" priority="55" stopIfTrue="1" operator="lessThan">
      <formula>N194</formula>
    </cfRule>
  </conditionalFormatting>
  <conditionalFormatting sqref="O195">
    <cfRule type="cellIs" dxfId="38" priority="54" stopIfTrue="1" operator="lessThan">
      <formula>O194</formula>
    </cfRule>
  </conditionalFormatting>
  <conditionalFormatting sqref="P195">
    <cfRule type="cellIs" dxfId="37" priority="53" stopIfTrue="1" operator="lessThan">
      <formula>P194</formula>
    </cfRule>
  </conditionalFormatting>
  <conditionalFormatting sqref="Q195">
    <cfRule type="cellIs" dxfId="36" priority="52" stopIfTrue="1" operator="lessThan">
      <formula>Q194</formula>
    </cfRule>
  </conditionalFormatting>
  <conditionalFormatting sqref="R195">
    <cfRule type="cellIs" dxfId="35" priority="51" stopIfTrue="1" operator="lessThan">
      <formula>R194</formula>
    </cfRule>
  </conditionalFormatting>
  <conditionalFormatting sqref="D205">
    <cfRule type="cellIs" dxfId="34" priority="50" stopIfTrue="1" operator="lessThan">
      <formula>D204</formula>
    </cfRule>
  </conditionalFormatting>
  <conditionalFormatting sqref="E205">
    <cfRule type="cellIs" dxfId="33" priority="49" stopIfTrue="1" operator="lessThan">
      <formula>E204</formula>
    </cfRule>
  </conditionalFormatting>
  <conditionalFormatting sqref="F205">
    <cfRule type="cellIs" dxfId="32" priority="48" stopIfTrue="1" operator="lessThan">
      <formula>F204</formula>
    </cfRule>
  </conditionalFormatting>
  <conditionalFormatting sqref="G205">
    <cfRule type="cellIs" dxfId="31" priority="47" stopIfTrue="1" operator="lessThan">
      <formula>G204</formula>
    </cfRule>
  </conditionalFormatting>
  <conditionalFormatting sqref="H205">
    <cfRule type="cellIs" dxfId="30" priority="46" stopIfTrue="1" operator="lessThan">
      <formula>H204</formula>
    </cfRule>
  </conditionalFormatting>
  <conditionalFormatting sqref="I205">
    <cfRule type="cellIs" dxfId="29" priority="45" stopIfTrue="1" operator="lessThan">
      <formula>I204</formula>
    </cfRule>
  </conditionalFormatting>
  <conditionalFormatting sqref="J205">
    <cfRule type="cellIs" dxfId="28" priority="44" stopIfTrue="1" operator="lessThan">
      <formula>J204</formula>
    </cfRule>
  </conditionalFormatting>
  <conditionalFormatting sqref="K205">
    <cfRule type="cellIs" dxfId="27" priority="43" stopIfTrue="1" operator="lessThan">
      <formula>K204</formula>
    </cfRule>
  </conditionalFormatting>
  <conditionalFormatting sqref="L205">
    <cfRule type="cellIs" dxfId="26" priority="42" stopIfTrue="1" operator="lessThan">
      <formula>L204</formula>
    </cfRule>
  </conditionalFormatting>
  <conditionalFormatting sqref="M205">
    <cfRule type="cellIs" dxfId="25" priority="41" stopIfTrue="1" operator="lessThan">
      <formula>M204</formula>
    </cfRule>
  </conditionalFormatting>
  <conditionalFormatting sqref="N205">
    <cfRule type="cellIs" dxfId="24" priority="40" stopIfTrue="1" operator="lessThan">
      <formula>N204</formula>
    </cfRule>
  </conditionalFormatting>
  <conditionalFormatting sqref="O205">
    <cfRule type="cellIs" dxfId="23" priority="39" stopIfTrue="1" operator="lessThan">
      <formula>O204</formula>
    </cfRule>
  </conditionalFormatting>
  <conditionalFormatting sqref="P205">
    <cfRule type="cellIs" dxfId="22" priority="38" stopIfTrue="1" operator="lessThan">
      <formula>P204</formula>
    </cfRule>
  </conditionalFormatting>
  <conditionalFormatting sqref="Q205">
    <cfRule type="cellIs" dxfId="21" priority="37" stopIfTrue="1" operator="lessThan">
      <formula>Q204</formula>
    </cfRule>
  </conditionalFormatting>
  <conditionalFormatting sqref="R205">
    <cfRule type="cellIs" dxfId="20" priority="36" stopIfTrue="1" operator="lessThan">
      <formula>R204</formula>
    </cfRule>
  </conditionalFormatting>
  <conditionalFormatting sqref="C25">
    <cfRule type="cellIs" dxfId="19" priority="23" operator="lessThan">
      <formula>0</formula>
    </cfRule>
  </conditionalFormatting>
  <conditionalFormatting sqref="C175">
    <cfRule type="cellIs" dxfId="18" priority="22" operator="lessThan">
      <formula>0</formula>
    </cfRule>
  </conditionalFormatting>
  <conditionalFormatting sqref="C10:C11">
    <cfRule type="cellIs" dxfId="17" priority="18" operator="lessThan">
      <formula>0</formula>
    </cfRule>
  </conditionalFormatting>
  <conditionalFormatting sqref="C35">
    <cfRule type="cellIs" dxfId="16" priority="17" operator="lessThan">
      <formula>0</formula>
    </cfRule>
  </conditionalFormatting>
  <conditionalFormatting sqref="C59">
    <cfRule type="cellIs" dxfId="15" priority="16" operator="lessThan">
      <formula>0</formula>
    </cfRule>
  </conditionalFormatting>
  <conditionalFormatting sqref="C69">
    <cfRule type="cellIs" dxfId="14" priority="15" operator="lessThan">
      <formula>0</formula>
    </cfRule>
  </conditionalFormatting>
  <conditionalFormatting sqref="C79">
    <cfRule type="cellIs" dxfId="13" priority="14" operator="lessThan">
      <formula>0</formula>
    </cfRule>
  </conditionalFormatting>
  <conditionalFormatting sqref="C89">
    <cfRule type="cellIs" dxfId="12" priority="13" operator="lessThan">
      <formula>0</formula>
    </cfRule>
  </conditionalFormatting>
  <conditionalFormatting sqref="C117">
    <cfRule type="cellIs" dxfId="11" priority="12" operator="lessThan">
      <formula>0</formula>
    </cfRule>
  </conditionalFormatting>
  <conditionalFormatting sqref="C127">
    <cfRule type="cellIs" dxfId="10" priority="11" operator="lessThan">
      <formula>0</formula>
    </cfRule>
  </conditionalFormatting>
  <conditionalFormatting sqref="C137">
    <cfRule type="cellIs" dxfId="9" priority="10" operator="lessThan">
      <formula>0</formula>
    </cfRule>
  </conditionalFormatting>
  <conditionalFormatting sqref="C147">
    <cfRule type="cellIs" dxfId="8" priority="9" operator="lessThan">
      <formula>0</formula>
    </cfRule>
  </conditionalFormatting>
  <conditionalFormatting sqref="C165">
    <cfRule type="cellIs" dxfId="7" priority="8" operator="lessThan">
      <formula>0</formula>
    </cfRule>
  </conditionalFormatting>
  <conditionalFormatting sqref="C185">
    <cfRule type="cellIs" dxfId="6" priority="7" operator="lessThan">
      <formula>0</formula>
    </cfRule>
  </conditionalFormatting>
  <conditionalFormatting sqref="C195">
    <cfRule type="cellIs" dxfId="5" priority="6" operator="lessThan">
      <formula>0</formula>
    </cfRule>
  </conditionalFormatting>
  <conditionalFormatting sqref="C205">
    <cfRule type="cellIs" dxfId="4" priority="5" operator="lessThan">
      <formula>0</formula>
    </cfRule>
  </conditionalFormatting>
  <conditionalFormatting sqref="D48:R48">
    <cfRule type="cellIs" dxfId="3" priority="3" operator="equal">
      <formula>""</formula>
    </cfRule>
    <cfRule type="cellIs" dxfId="2" priority="4" operator="notEqual">
      <formula>""</formula>
    </cfRule>
  </conditionalFormatting>
  <conditionalFormatting sqref="D108:R108">
    <cfRule type="cellIs" dxfId="1" priority="1" operator="equal">
      <formula>""</formula>
    </cfRule>
    <cfRule type="cellIs" dxfId="0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de Físico Semanal'!$C$2:$C$11</xm:f>
          </x14:formula1>
          <xm:sqref>D61:R66 D27:R32 D19:R22 D52:R56 D81:R86 D71:R76 D118:R120 D196:R202 D122:R124 D128:R134 D90:R92 D111:R114 D138:R144 D161:R162 D166:R172 D176:R182 D186:R192 D148:R152</xm:sqref>
        </x14:dataValidation>
        <x14:dataValidation type="list" allowBlank="1" showInputMessage="1" showErrorMessage="1">
          <x14:formula1>
            <xm:f>'[1]Dados de Físico Semanal'!#REF!</xm:f>
          </x14:formula1>
          <xm:sqref>D17:R18 D51:R51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980"/>
  <sheetViews>
    <sheetView showGridLines="0" topLeftCell="A844" zoomScaleNormal="100" workbookViewId="0">
      <selection activeCell="B973" sqref="B973:L973"/>
    </sheetView>
  </sheetViews>
  <sheetFormatPr defaultRowHeight="12.75" x14ac:dyDescent="0.2"/>
  <cols>
    <col min="1" max="1" width="2" customWidth="1"/>
    <col min="2" max="3" width="11.28515625" customWidth="1"/>
    <col min="4" max="4" width="6.7109375" customWidth="1"/>
    <col min="5" max="5" width="12.85546875" customWidth="1"/>
    <col min="6" max="6" width="6.85546875" customWidth="1"/>
    <col min="7" max="7" width="12.140625" customWidth="1"/>
    <col min="8" max="8" width="2.42578125" hidden="1" customWidth="1"/>
    <col min="9" max="9" width="6.42578125" bestFit="1" customWidth="1"/>
    <col min="10" max="10" width="11" bestFit="1" customWidth="1"/>
    <col min="11" max="11" width="22" customWidth="1"/>
    <col min="12" max="12" width="11" bestFit="1" customWidth="1"/>
  </cols>
  <sheetData>
    <row r="4" spans="2:12" ht="13.5" thickBot="1" x14ac:dyDescent="0.25"/>
    <row r="5" spans="2:12" ht="23.25" x14ac:dyDescent="0.2">
      <c r="B5" s="862" t="s">
        <v>336</v>
      </c>
      <c r="C5" s="863"/>
      <c r="D5" s="863"/>
      <c r="E5" s="863"/>
      <c r="F5" s="863"/>
      <c r="G5" s="863"/>
      <c r="H5" s="863"/>
      <c r="I5" s="863"/>
      <c r="J5" s="863"/>
      <c r="K5" s="863"/>
      <c r="L5" s="864"/>
    </row>
    <row r="6" spans="2:12" ht="20.25" x14ac:dyDescent="0.2">
      <c r="B6" s="20"/>
      <c r="C6" s="21"/>
      <c r="D6" s="210"/>
      <c r="E6" s="210"/>
      <c r="F6" s="210"/>
      <c r="G6" s="210"/>
      <c r="H6" s="210"/>
      <c r="I6" s="210"/>
      <c r="J6" s="210"/>
      <c r="K6" s="211" t="str">
        <f>("DATA ATUAL:"&amp;"    "&amp;UPPER(LEFT(TEXT(L6,"DDDD"),7)))</f>
        <v>DATA ATUAL:    TERÇA-F</v>
      </c>
      <c r="L6" s="253">
        <v>44670</v>
      </c>
    </row>
    <row r="7" spans="2:12" ht="20.25" x14ac:dyDescent="0.2">
      <c r="B7" s="20"/>
      <c r="C7" s="21"/>
      <c r="D7" s="212"/>
      <c r="E7" s="212"/>
      <c r="F7" s="212"/>
      <c r="G7" s="212"/>
      <c r="H7" s="212"/>
      <c r="I7" s="212"/>
      <c r="J7" s="212"/>
      <c r="K7" s="211" t="s">
        <v>337</v>
      </c>
      <c r="L7" s="254">
        <v>1</v>
      </c>
    </row>
    <row r="8" spans="2:12" ht="20.25" x14ac:dyDescent="0.2">
      <c r="B8" s="20"/>
      <c r="C8" s="21"/>
      <c r="D8" s="865" t="s">
        <v>338</v>
      </c>
      <c r="E8" s="865"/>
      <c r="F8" s="865"/>
      <c r="G8" s="865"/>
      <c r="H8" s="865"/>
      <c r="I8" s="865"/>
      <c r="J8" s="212"/>
      <c r="K8" s="211" t="s">
        <v>339</v>
      </c>
      <c r="L8" s="255">
        <f>IFERROR(IF(AND(L13&gt;0,L12&gt;0),L13-L12,0),"")</f>
        <v>31</v>
      </c>
    </row>
    <row r="9" spans="2:12" x14ac:dyDescent="0.2">
      <c r="B9" s="20"/>
      <c r="C9" s="21"/>
      <c r="D9" s="866" t="s">
        <v>340</v>
      </c>
      <c r="E9" s="866"/>
      <c r="F9" s="866"/>
      <c r="G9" s="866"/>
      <c r="H9" s="866"/>
      <c r="I9" s="866"/>
      <c r="J9" s="213"/>
      <c r="K9" s="211" t="s">
        <v>341</v>
      </c>
      <c r="L9" s="255">
        <f>IF(OR(AND(K57&lt;&gt;"",K58&lt;&gt;"",K59&lt;&gt;""),AND(D53&lt;&gt;"",F53&lt;&gt;"")),IF(L12&gt;0,(L6-L12)-1,0),IF(L12&gt;0,L6-L12+1,0))</f>
        <v>1</v>
      </c>
    </row>
    <row r="10" spans="2:12" x14ac:dyDescent="0.2">
      <c r="B10" s="20"/>
      <c r="C10" s="21"/>
      <c r="D10" s="867" t="s">
        <v>342</v>
      </c>
      <c r="E10" s="867"/>
      <c r="F10" s="867"/>
      <c r="G10" s="867"/>
      <c r="H10" s="867"/>
      <c r="I10" s="867"/>
      <c r="J10" s="214"/>
      <c r="K10" s="211" t="s">
        <v>343</v>
      </c>
      <c r="L10" s="255">
        <f>IFERROR(L8-L9,"")</f>
        <v>30</v>
      </c>
    </row>
    <row r="11" spans="2:12" x14ac:dyDescent="0.2">
      <c r="B11" s="758" t="s">
        <v>344</v>
      </c>
      <c r="C11" s="759"/>
      <c r="D11" s="759"/>
      <c r="E11" s="759"/>
      <c r="F11" s="759"/>
      <c r="G11" s="759"/>
      <c r="H11" s="759"/>
      <c r="I11" s="759"/>
      <c r="J11" s="759"/>
      <c r="K11" s="759"/>
      <c r="L11" s="760"/>
    </row>
    <row r="12" spans="2:12" x14ac:dyDescent="0.2">
      <c r="B12" s="868" t="s">
        <v>345</v>
      </c>
      <c r="C12" s="852"/>
      <c r="D12" s="852" t="s">
        <v>404</v>
      </c>
      <c r="E12" s="852"/>
      <c r="F12" s="852"/>
      <c r="G12" s="852"/>
      <c r="H12" s="852"/>
      <c r="I12" s="852"/>
      <c r="J12" s="852"/>
      <c r="K12" s="216" t="s">
        <v>346</v>
      </c>
      <c r="L12" s="217">
        <v>44670</v>
      </c>
    </row>
    <row r="13" spans="2:12" x14ac:dyDescent="0.2">
      <c r="B13" s="218" t="s">
        <v>347</v>
      </c>
      <c r="C13" s="852"/>
      <c r="D13" s="852"/>
      <c r="E13" s="852"/>
      <c r="F13" s="852"/>
      <c r="G13" s="852"/>
      <c r="H13" s="852"/>
      <c r="I13" s="852"/>
      <c r="J13" s="852"/>
      <c r="K13" s="216" t="s">
        <v>348</v>
      </c>
      <c r="L13" s="217">
        <v>44701</v>
      </c>
    </row>
    <row r="14" spans="2:12" x14ac:dyDescent="0.2">
      <c r="B14" s="868" t="s">
        <v>349</v>
      </c>
      <c r="C14" s="852"/>
      <c r="D14" s="852" t="s">
        <v>405</v>
      </c>
      <c r="E14" s="852"/>
      <c r="F14" s="852"/>
      <c r="G14" s="852"/>
      <c r="H14" s="852"/>
      <c r="I14" s="852"/>
      <c r="J14" s="852"/>
      <c r="K14" s="852"/>
      <c r="L14" s="853"/>
    </row>
    <row r="15" spans="2:12" x14ac:dyDescent="0.2">
      <c r="B15" s="868" t="s">
        <v>350</v>
      </c>
      <c r="C15" s="869"/>
      <c r="D15" s="869"/>
      <c r="E15" s="852" t="s">
        <v>402</v>
      </c>
      <c r="F15" s="852"/>
      <c r="G15" s="852"/>
      <c r="H15" s="852"/>
      <c r="I15" s="852"/>
      <c r="J15" s="852"/>
      <c r="K15" s="852"/>
      <c r="L15" s="853"/>
    </row>
    <row r="16" spans="2:12" x14ac:dyDescent="0.2">
      <c r="B16" s="218" t="s">
        <v>351</v>
      </c>
      <c r="C16" s="249"/>
      <c r="D16" s="870"/>
      <c r="E16" s="870"/>
      <c r="F16" s="870"/>
      <c r="G16" s="870"/>
      <c r="H16" s="870"/>
      <c r="I16" s="870"/>
      <c r="J16" s="870"/>
      <c r="K16" s="870"/>
      <c r="L16" s="871"/>
    </row>
    <row r="17" spans="2:12" x14ac:dyDescent="0.2">
      <c r="B17" s="758" t="s">
        <v>352</v>
      </c>
      <c r="C17" s="759"/>
      <c r="D17" s="759"/>
      <c r="E17" s="759"/>
      <c r="F17" s="759"/>
      <c r="G17" s="759"/>
      <c r="H17" s="759"/>
      <c r="I17" s="759"/>
      <c r="J17" s="759"/>
      <c r="K17" s="759"/>
      <c r="L17" s="760"/>
    </row>
    <row r="18" spans="2:12" x14ac:dyDescent="0.2">
      <c r="B18" s="868" t="s">
        <v>353</v>
      </c>
      <c r="C18" s="869"/>
      <c r="D18" s="869"/>
      <c r="E18" s="852"/>
      <c r="F18" s="852"/>
      <c r="G18" s="852"/>
      <c r="H18" s="852"/>
      <c r="I18" s="852"/>
      <c r="J18" s="852"/>
      <c r="K18" s="852"/>
      <c r="L18" s="853"/>
    </row>
    <row r="19" spans="2:12" x14ac:dyDescent="0.2">
      <c r="B19" s="219" t="s">
        <v>321</v>
      </c>
      <c r="C19" s="852"/>
      <c r="D19" s="852"/>
      <c r="E19" s="852"/>
      <c r="F19" s="852"/>
      <c r="G19" s="852"/>
      <c r="H19" s="852"/>
      <c r="I19" s="852"/>
      <c r="J19" s="852"/>
      <c r="K19" s="852"/>
      <c r="L19" s="853"/>
    </row>
    <row r="20" spans="2:12" x14ac:dyDescent="0.2">
      <c r="B20" s="219" t="s">
        <v>351</v>
      </c>
      <c r="C20" s="852"/>
      <c r="D20" s="852"/>
      <c r="E20" s="852"/>
      <c r="F20" s="852"/>
      <c r="G20" s="852"/>
      <c r="H20" s="852"/>
      <c r="I20" s="852"/>
      <c r="J20" s="852"/>
      <c r="K20" s="852"/>
      <c r="L20" s="853"/>
    </row>
    <row r="21" spans="2:12" x14ac:dyDescent="0.2">
      <c r="B21" s="219" t="s">
        <v>354</v>
      </c>
      <c r="C21" s="852"/>
      <c r="D21" s="852"/>
      <c r="E21" s="852"/>
      <c r="F21" s="852"/>
      <c r="G21" s="852"/>
      <c r="H21" s="852"/>
      <c r="I21" s="852"/>
      <c r="J21" s="852"/>
      <c r="K21" s="852"/>
      <c r="L21" s="853"/>
    </row>
    <row r="22" spans="2:12" x14ac:dyDescent="0.2">
      <c r="B22" s="758" t="s">
        <v>355</v>
      </c>
      <c r="C22" s="759"/>
      <c r="D22" s="759"/>
      <c r="E22" s="759"/>
      <c r="F22" s="759"/>
      <c r="G22" s="759"/>
      <c r="H22" s="759"/>
      <c r="I22" s="759"/>
      <c r="J22" s="759"/>
      <c r="K22" s="759"/>
      <c r="L22" s="760"/>
    </row>
    <row r="23" spans="2:12" x14ac:dyDescent="0.2">
      <c r="B23" s="803" t="s">
        <v>356</v>
      </c>
      <c r="C23" s="782"/>
      <c r="D23" s="782"/>
      <c r="E23" s="782"/>
      <c r="F23" s="782"/>
      <c r="G23" s="782"/>
      <c r="H23" s="782"/>
      <c r="I23" s="782"/>
      <c r="J23" s="782"/>
      <c r="K23" s="782"/>
      <c r="L23" s="804"/>
    </row>
    <row r="24" spans="2:12" x14ac:dyDescent="0.2">
      <c r="B24" s="854" t="s">
        <v>357</v>
      </c>
      <c r="C24" s="824"/>
      <c r="D24" s="825"/>
      <c r="E24" s="840" t="s">
        <v>358</v>
      </c>
      <c r="F24" s="841"/>
      <c r="G24" s="841"/>
      <c r="H24" s="841"/>
      <c r="I24" s="841"/>
      <c r="J24" s="841"/>
      <c r="K24" s="842"/>
      <c r="L24" s="855" t="s">
        <v>359</v>
      </c>
    </row>
    <row r="25" spans="2:12" x14ac:dyDescent="0.2">
      <c r="B25" s="854"/>
      <c r="C25" s="824"/>
      <c r="D25" s="825"/>
      <c r="E25" s="843"/>
      <c r="F25" s="844"/>
      <c r="G25" s="844"/>
      <c r="H25" s="844"/>
      <c r="I25" s="844"/>
      <c r="J25" s="844"/>
      <c r="K25" s="845"/>
      <c r="L25" s="856"/>
    </row>
    <row r="26" spans="2:12" x14ac:dyDescent="0.2">
      <c r="B26" s="857" t="s">
        <v>400</v>
      </c>
      <c r="C26" s="746"/>
      <c r="D26" s="858"/>
      <c r="E26" s="748" t="s">
        <v>412</v>
      </c>
      <c r="F26" s="859"/>
      <c r="G26" s="859"/>
      <c r="H26" s="859"/>
      <c r="I26" s="859"/>
      <c r="J26" s="859"/>
      <c r="K26" s="858"/>
      <c r="L26" s="220">
        <v>2</v>
      </c>
    </row>
    <row r="27" spans="2:12" x14ac:dyDescent="0.2">
      <c r="B27" s="764" t="s">
        <v>411</v>
      </c>
      <c r="C27" s="746"/>
      <c r="D27" s="858"/>
      <c r="E27" s="860" t="s">
        <v>413</v>
      </c>
      <c r="F27" s="859"/>
      <c r="G27" s="859"/>
      <c r="H27" s="859"/>
      <c r="I27" s="859"/>
      <c r="J27" s="859"/>
      <c r="K27" s="858"/>
      <c r="L27" s="220">
        <v>1</v>
      </c>
    </row>
    <row r="28" spans="2:12" x14ac:dyDescent="0.2">
      <c r="B28" s="222"/>
      <c r="C28" s="260"/>
      <c r="D28" s="223"/>
      <c r="E28" s="860"/>
      <c r="F28" s="859"/>
      <c r="G28" s="859"/>
      <c r="H28" s="859"/>
      <c r="I28" s="859"/>
      <c r="J28" s="859"/>
      <c r="K28" s="858"/>
      <c r="L28" s="221"/>
    </row>
    <row r="29" spans="2:12" x14ac:dyDescent="0.2">
      <c r="B29" s="222"/>
      <c r="C29" s="260"/>
      <c r="D29" s="223"/>
      <c r="E29" s="860"/>
      <c r="F29" s="859"/>
      <c r="G29" s="859"/>
      <c r="H29" s="859"/>
      <c r="I29" s="859"/>
      <c r="J29" s="859"/>
      <c r="K29" s="858"/>
      <c r="L29" s="221"/>
    </row>
    <row r="30" spans="2:12" x14ac:dyDescent="0.2">
      <c r="B30" s="777" t="s">
        <v>360</v>
      </c>
      <c r="C30" s="861"/>
      <c r="D30" s="861"/>
      <c r="E30" s="861"/>
      <c r="F30" s="861"/>
      <c r="G30" s="861"/>
      <c r="H30" s="861"/>
      <c r="I30" s="861"/>
      <c r="J30" s="861"/>
      <c r="K30" s="779"/>
      <c r="L30" s="224">
        <f>SUM(L26:L29)</f>
        <v>3</v>
      </c>
    </row>
    <row r="31" spans="2:12" x14ac:dyDescent="0.2">
      <c r="B31" s="803" t="s">
        <v>361</v>
      </c>
      <c r="C31" s="782"/>
      <c r="D31" s="782"/>
      <c r="E31" s="782"/>
      <c r="F31" s="782"/>
      <c r="G31" s="782"/>
      <c r="H31" s="782"/>
      <c r="I31" s="782"/>
      <c r="J31" s="782"/>
      <c r="K31" s="782"/>
      <c r="L31" s="804"/>
    </row>
    <row r="32" spans="2:12" x14ac:dyDescent="0.2">
      <c r="B32" s="834" t="s">
        <v>362</v>
      </c>
      <c r="C32" s="840" t="s">
        <v>357</v>
      </c>
      <c r="D32" s="842"/>
      <c r="E32" s="840" t="s">
        <v>358</v>
      </c>
      <c r="F32" s="841"/>
      <c r="G32" s="841"/>
      <c r="H32" s="841"/>
      <c r="I32" s="841"/>
      <c r="J32" s="841"/>
      <c r="K32" s="842"/>
      <c r="L32" s="816" t="s">
        <v>359</v>
      </c>
    </row>
    <row r="33" spans="2:12" x14ac:dyDescent="0.2">
      <c r="B33" s="835"/>
      <c r="C33" s="843"/>
      <c r="D33" s="845"/>
      <c r="E33" s="843"/>
      <c r="F33" s="844"/>
      <c r="G33" s="844"/>
      <c r="H33" s="844"/>
      <c r="I33" s="844"/>
      <c r="J33" s="844"/>
      <c r="K33" s="845"/>
      <c r="L33" s="817"/>
    </row>
    <row r="34" spans="2:12" x14ac:dyDescent="0.2">
      <c r="B34" s="225"/>
      <c r="C34" s="818"/>
      <c r="D34" s="819"/>
      <c r="E34" s="820"/>
      <c r="F34" s="821"/>
      <c r="G34" s="821"/>
      <c r="H34" s="821"/>
      <c r="I34" s="821"/>
      <c r="J34" s="821"/>
      <c r="K34" s="822"/>
      <c r="L34" s="226"/>
    </row>
    <row r="35" spans="2:12" x14ac:dyDescent="0.2">
      <c r="B35" s="225"/>
      <c r="C35" s="818"/>
      <c r="D35" s="819"/>
      <c r="E35" s="820"/>
      <c r="F35" s="821"/>
      <c r="G35" s="821"/>
      <c r="H35" s="821"/>
      <c r="I35" s="821"/>
      <c r="J35" s="821"/>
      <c r="K35" s="822"/>
      <c r="L35" s="226"/>
    </row>
    <row r="36" spans="2:12" x14ac:dyDescent="0.2">
      <c r="B36" s="225"/>
      <c r="C36" s="818"/>
      <c r="D36" s="819"/>
      <c r="E36" s="823"/>
      <c r="F36" s="824"/>
      <c r="G36" s="824"/>
      <c r="H36" s="824"/>
      <c r="I36" s="824"/>
      <c r="J36" s="824"/>
      <c r="K36" s="825"/>
      <c r="L36" s="226"/>
    </row>
    <row r="37" spans="2:12" x14ac:dyDescent="0.2">
      <c r="B37" s="225"/>
      <c r="C37" s="818"/>
      <c r="D37" s="819"/>
      <c r="E37" s="823"/>
      <c r="F37" s="824"/>
      <c r="G37" s="824"/>
      <c r="H37" s="824"/>
      <c r="I37" s="824"/>
      <c r="J37" s="824"/>
      <c r="K37" s="825"/>
      <c r="L37" s="226"/>
    </row>
    <row r="38" spans="2:12" x14ac:dyDescent="0.2">
      <c r="B38" s="225"/>
      <c r="C38" s="818"/>
      <c r="D38" s="819"/>
      <c r="E38" s="823"/>
      <c r="F38" s="824"/>
      <c r="G38" s="824"/>
      <c r="H38" s="824"/>
      <c r="I38" s="824"/>
      <c r="J38" s="824"/>
      <c r="K38" s="825"/>
      <c r="L38" s="226"/>
    </row>
    <row r="39" spans="2:12" x14ac:dyDescent="0.2">
      <c r="B39" s="826" t="s">
        <v>360</v>
      </c>
      <c r="C39" s="827"/>
      <c r="D39" s="827"/>
      <c r="E39" s="827"/>
      <c r="F39" s="827"/>
      <c r="G39" s="827"/>
      <c r="H39" s="827"/>
      <c r="I39" s="827"/>
      <c r="J39" s="827"/>
      <c r="K39" s="828"/>
      <c r="L39" s="227">
        <f>SUM(L34:L38)</f>
        <v>0</v>
      </c>
    </row>
    <row r="40" spans="2:12" x14ac:dyDescent="0.2">
      <c r="B40" s="829" t="s">
        <v>406</v>
      </c>
      <c r="C40" s="830"/>
      <c r="D40" s="830"/>
      <c r="E40" s="830"/>
      <c r="F40" s="830"/>
      <c r="G40" s="830"/>
      <c r="H40" s="830"/>
      <c r="I40" s="830"/>
      <c r="J40" s="830"/>
      <c r="K40" s="831"/>
      <c r="L40" s="228">
        <f>L39+L30</f>
        <v>3</v>
      </c>
    </row>
    <row r="41" spans="2:12" x14ac:dyDescent="0.2">
      <c r="B41" s="758" t="s">
        <v>215</v>
      </c>
      <c r="C41" s="759"/>
      <c r="D41" s="759"/>
      <c r="E41" s="759"/>
      <c r="F41" s="759"/>
      <c r="G41" s="759"/>
      <c r="H41" s="759"/>
      <c r="I41" s="759"/>
      <c r="J41" s="759"/>
      <c r="K41" s="759"/>
      <c r="L41" s="760"/>
    </row>
    <row r="42" spans="2:12" x14ac:dyDescent="0.2">
      <c r="B42" s="803" t="s">
        <v>363</v>
      </c>
      <c r="C42" s="782"/>
      <c r="D42" s="782"/>
      <c r="E42" s="782"/>
      <c r="F42" s="782"/>
      <c r="G42" s="782"/>
      <c r="H42" s="782"/>
      <c r="I42" s="782"/>
      <c r="J42" s="803" t="s">
        <v>364</v>
      </c>
      <c r="K42" s="782"/>
      <c r="L42" s="804"/>
    </row>
    <row r="43" spans="2:12" x14ac:dyDescent="0.2">
      <c r="B43" s="834" t="s">
        <v>362</v>
      </c>
      <c r="C43" s="836" t="s">
        <v>29</v>
      </c>
      <c r="D43" s="837"/>
      <c r="E43" s="840" t="s">
        <v>1</v>
      </c>
      <c r="F43" s="841"/>
      <c r="G43" s="841"/>
      <c r="H43" s="842"/>
      <c r="I43" s="846" t="s">
        <v>359</v>
      </c>
      <c r="J43" s="848" t="s">
        <v>29</v>
      </c>
      <c r="K43" s="850" t="s">
        <v>1</v>
      </c>
      <c r="L43" s="846" t="s">
        <v>365</v>
      </c>
    </row>
    <row r="44" spans="2:12" x14ac:dyDescent="0.2">
      <c r="B44" s="835"/>
      <c r="C44" s="838"/>
      <c r="D44" s="839"/>
      <c r="E44" s="843"/>
      <c r="F44" s="844"/>
      <c r="G44" s="844"/>
      <c r="H44" s="845"/>
      <c r="I44" s="847"/>
      <c r="J44" s="849"/>
      <c r="K44" s="851"/>
      <c r="L44" s="847"/>
    </row>
    <row r="45" spans="2:12" x14ac:dyDescent="0.2">
      <c r="B45" s="229"/>
      <c r="C45" s="832"/>
      <c r="D45" s="822"/>
      <c r="E45" s="832"/>
      <c r="F45" s="833"/>
      <c r="G45" s="833"/>
      <c r="H45" s="822"/>
      <c r="I45" s="231"/>
      <c r="J45" s="232"/>
      <c r="K45" s="233"/>
      <c r="L45" s="221"/>
    </row>
    <row r="46" spans="2:12" x14ac:dyDescent="0.2">
      <c r="B46" s="229"/>
      <c r="C46" s="832"/>
      <c r="D46" s="822"/>
      <c r="E46" s="832"/>
      <c r="F46" s="833"/>
      <c r="G46" s="833"/>
      <c r="H46" s="822"/>
      <c r="I46" s="234"/>
      <c r="J46" s="235"/>
      <c r="K46" s="236"/>
      <c r="L46" s="237"/>
    </row>
    <row r="47" spans="2:12" x14ac:dyDescent="0.2">
      <c r="B47" s="229"/>
      <c r="C47" s="832"/>
      <c r="D47" s="822"/>
      <c r="E47" s="832"/>
      <c r="F47" s="833"/>
      <c r="G47" s="833"/>
      <c r="H47" s="822"/>
      <c r="I47" s="239"/>
      <c r="J47" s="230"/>
      <c r="K47" s="238"/>
      <c r="L47" s="220"/>
    </row>
    <row r="48" spans="2:12" x14ac:dyDescent="0.2">
      <c r="B48" s="777" t="s">
        <v>366</v>
      </c>
      <c r="C48" s="778"/>
      <c r="D48" s="778"/>
      <c r="E48" s="778"/>
      <c r="F48" s="778"/>
      <c r="G48" s="778"/>
      <c r="H48" s="779"/>
      <c r="I48" s="252">
        <f>SUM(I45:I47)</f>
        <v>0</v>
      </c>
      <c r="J48" s="780" t="s">
        <v>366</v>
      </c>
      <c r="K48" s="781"/>
      <c r="L48" s="240">
        <f>SUM(L45:L47)</f>
        <v>0</v>
      </c>
    </row>
    <row r="49" spans="2:12" x14ac:dyDescent="0.2">
      <c r="B49" s="777" t="s">
        <v>27</v>
      </c>
      <c r="C49" s="778"/>
      <c r="D49" s="778"/>
      <c r="E49" s="778"/>
      <c r="F49" s="778"/>
      <c r="G49" s="778"/>
      <c r="H49" s="778"/>
      <c r="I49" s="778"/>
      <c r="J49" s="778"/>
      <c r="K49" s="779"/>
      <c r="L49" s="240">
        <f>L48+I48</f>
        <v>0</v>
      </c>
    </row>
    <row r="50" spans="2:12" x14ac:dyDescent="0.2">
      <c r="B50" s="758" t="s">
        <v>388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60"/>
    </row>
    <row r="51" spans="2:12" x14ac:dyDescent="0.2">
      <c r="B51" s="803" t="s">
        <v>368</v>
      </c>
      <c r="C51" s="782"/>
      <c r="D51" s="804"/>
      <c r="E51" s="782" t="s">
        <v>394</v>
      </c>
      <c r="F51" s="782"/>
      <c r="G51" s="783" t="s">
        <v>389</v>
      </c>
      <c r="H51" s="784"/>
      <c r="I51" s="784"/>
      <c r="J51" s="784"/>
      <c r="K51" s="784"/>
      <c r="L51" s="785"/>
    </row>
    <row r="52" spans="2:12" x14ac:dyDescent="0.2">
      <c r="B52" s="786" t="s">
        <v>393</v>
      </c>
      <c r="C52" s="787"/>
      <c r="D52" s="265" t="s">
        <v>390</v>
      </c>
      <c r="E52" s="256" t="s">
        <v>391</v>
      </c>
      <c r="F52" s="264" t="s">
        <v>392</v>
      </c>
      <c r="G52" s="258"/>
      <c r="H52" s="256"/>
      <c r="I52" s="256"/>
      <c r="J52" s="256"/>
      <c r="K52" s="256"/>
      <c r="L52" s="257"/>
    </row>
    <row r="53" spans="2:12" x14ac:dyDescent="0.2">
      <c r="B53" s="324"/>
      <c r="C53" s="324"/>
      <c r="D53" s="788"/>
      <c r="E53" s="268"/>
      <c r="F53" s="790"/>
      <c r="G53" s="783"/>
      <c r="H53" s="784"/>
      <c r="I53" s="784"/>
      <c r="J53" s="784"/>
      <c r="K53" s="784"/>
      <c r="L53" s="785"/>
    </row>
    <row r="54" spans="2:12" x14ac:dyDescent="0.2">
      <c r="B54" s="324"/>
      <c r="C54" s="324"/>
      <c r="D54" s="789"/>
      <c r="E54" s="268"/>
      <c r="F54" s="791"/>
      <c r="G54" s="783"/>
      <c r="H54" s="784"/>
      <c r="I54" s="784"/>
      <c r="J54" s="784"/>
      <c r="K54" s="784"/>
      <c r="L54" s="785"/>
    </row>
    <row r="55" spans="2:12" x14ac:dyDescent="0.2">
      <c r="B55" s="792" t="s">
        <v>367</v>
      </c>
      <c r="C55" s="793"/>
      <c r="D55" s="793"/>
      <c r="E55" s="793"/>
      <c r="F55" s="793"/>
      <c r="G55" s="793"/>
      <c r="H55" s="793"/>
      <c r="I55" s="793"/>
      <c r="J55" s="793"/>
      <c r="K55" s="793"/>
      <c r="L55" s="794"/>
    </row>
    <row r="56" spans="2:12" ht="25.5" x14ac:dyDescent="0.2">
      <c r="B56" s="263" t="s">
        <v>368</v>
      </c>
      <c r="C56" s="795" t="s">
        <v>369</v>
      </c>
      <c r="D56" s="796"/>
      <c r="E56" s="797"/>
      <c r="F56" s="795" t="s">
        <v>370</v>
      </c>
      <c r="G56" s="796"/>
      <c r="H56" s="797"/>
      <c r="I56" s="795" t="s">
        <v>371</v>
      </c>
      <c r="J56" s="797"/>
      <c r="K56" s="241" t="s">
        <v>372</v>
      </c>
      <c r="L56" s="242" t="s">
        <v>373</v>
      </c>
    </row>
    <row r="57" spans="2:12" x14ac:dyDescent="0.2">
      <c r="B57" s="243" t="s">
        <v>374</v>
      </c>
      <c r="C57" s="798" t="s">
        <v>407</v>
      </c>
      <c r="D57" s="799"/>
      <c r="E57" s="800"/>
      <c r="F57" s="801"/>
      <c r="G57" s="802"/>
      <c r="H57" s="244"/>
      <c r="I57" s="801"/>
      <c r="J57" s="802"/>
      <c r="K57" s="266"/>
      <c r="L57" s="245"/>
    </row>
    <row r="58" spans="2:12" x14ac:dyDescent="0.2">
      <c r="B58" s="243" t="s">
        <v>375</v>
      </c>
      <c r="C58" s="798" t="s">
        <v>407</v>
      </c>
      <c r="D58" s="799"/>
      <c r="E58" s="800"/>
      <c r="F58" s="801"/>
      <c r="G58" s="802"/>
      <c r="H58" s="244"/>
      <c r="I58" s="801"/>
      <c r="J58" s="802"/>
      <c r="K58" s="266"/>
      <c r="L58" s="245"/>
    </row>
    <row r="59" spans="2:12" x14ac:dyDescent="0.2">
      <c r="B59" s="243" t="s">
        <v>376</v>
      </c>
      <c r="C59" s="798" t="s">
        <v>407</v>
      </c>
      <c r="D59" s="799"/>
      <c r="E59" s="800"/>
      <c r="F59" s="801"/>
      <c r="G59" s="802"/>
      <c r="H59" s="244"/>
      <c r="I59" s="801"/>
      <c r="J59" s="802"/>
      <c r="K59" s="266"/>
      <c r="L59" s="245"/>
    </row>
    <row r="60" spans="2:12" x14ac:dyDescent="0.2">
      <c r="B60" s="805" t="s">
        <v>377</v>
      </c>
      <c r="C60" s="806"/>
      <c r="D60" s="806"/>
      <c r="E60" s="806"/>
      <c r="F60" s="806"/>
      <c r="G60" s="806"/>
      <c r="H60" s="806"/>
      <c r="I60" s="806"/>
      <c r="J60" s="807"/>
      <c r="K60" s="814" t="s">
        <v>378</v>
      </c>
      <c r="L60" s="815"/>
    </row>
    <row r="61" spans="2:12" x14ac:dyDescent="0.2">
      <c r="B61" s="808"/>
      <c r="C61" s="809"/>
      <c r="D61" s="809"/>
      <c r="E61" s="809"/>
      <c r="F61" s="809"/>
      <c r="G61" s="809"/>
      <c r="H61" s="809"/>
      <c r="I61" s="809"/>
      <c r="J61" s="810"/>
      <c r="K61" s="246" t="s">
        <v>379</v>
      </c>
      <c r="L61" s="245"/>
    </row>
    <row r="62" spans="2:12" x14ac:dyDescent="0.2">
      <c r="B62" s="808"/>
      <c r="C62" s="809"/>
      <c r="D62" s="809"/>
      <c r="E62" s="809"/>
      <c r="F62" s="809"/>
      <c r="G62" s="809"/>
      <c r="H62" s="809"/>
      <c r="I62" s="809"/>
      <c r="J62" s="810"/>
      <c r="K62" s="246" t="s">
        <v>380</v>
      </c>
      <c r="L62" s="245"/>
    </row>
    <row r="63" spans="2:12" ht="13.5" thickBot="1" x14ac:dyDescent="0.25">
      <c r="B63" s="811"/>
      <c r="C63" s="812"/>
      <c r="D63" s="812"/>
      <c r="E63" s="812"/>
      <c r="F63" s="812"/>
      <c r="G63" s="812"/>
      <c r="H63" s="812"/>
      <c r="I63" s="812"/>
      <c r="J63" s="813"/>
      <c r="K63" s="247" t="s">
        <v>381</v>
      </c>
      <c r="L63" s="248"/>
    </row>
    <row r="64" spans="2:12" x14ac:dyDescent="0.2">
      <c r="B64" s="362"/>
      <c r="C64" s="360"/>
      <c r="D64" s="360"/>
      <c r="E64" s="360"/>
      <c r="F64" s="360"/>
      <c r="G64" s="360"/>
      <c r="H64" s="360"/>
      <c r="I64" s="360"/>
      <c r="J64" s="360"/>
      <c r="K64" s="361"/>
      <c r="L64" s="363"/>
    </row>
    <row r="65" spans="2:12" x14ac:dyDescent="0.2">
      <c r="B65" s="364"/>
      <c r="C65" s="365"/>
      <c r="D65" s="365"/>
      <c r="E65" s="365"/>
      <c r="F65" s="365"/>
      <c r="G65" s="365"/>
      <c r="H65" s="365"/>
      <c r="I65" s="365"/>
      <c r="J65" s="365"/>
      <c r="K65" s="365"/>
      <c r="L65" s="366"/>
    </row>
    <row r="66" spans="2:12" x14ac:dyDescent="0.2">
      <c r="B66" s="758" t="s">
        <v>382</v>
      </c>
      <c r="C66" s="759"/>
      <c r="D66" s="759"/>
      <c r="E66" s="759"/>
      <c r="F66" s="759"/>
      <c r="G66" s="759"/>
      <c r="H66" s="759"/>
      <c r="I66" s="759"/>
      <c r="J66" s="759"/>
      <c r="K66" s="759"/>
      <c r="L66" s="760"/>
    </row>
    <row r="67" spans="2:12" x14ac:dyDescent="0.2">
      <c r="B67" s="300">
        <v>1</v>
      </c>
      <c r="C67" s="745" t="s">
        <v>456</v>
      </c>
      <c r="D67" s="746"/>
      <c r="E67" s="746"/>
      <c r="F67" s="746"/>
      <c r="G67" s="746"/>
      <c r="H67" s="746"/>
      <c r="I67" s="746"/>
      <c r="J67" s="746"/>
      <c r="K67" s="746"/>
      <c r="L67" s="747"/>
    </row>
    <row r="68" spans="2:12" x14ac:dyDescent="0.2">
      <c r="B68" s="300">
        <v>2</v>
      </c>
      <c r="C68" s="745" t="s">
        <v>454</v>
      </c>
      <c r="D68" s="746"/>
      <c r="E68" s="746"/>
      <c r="F68" s="746"/>
      <c r="G68" s="746"/>
      <c r="H68" s="746"/>
      <c r="I68" s="746"/>
      <c r="J68" s="746"/>
      <c r="K68" s="746"/>
      <c r="L68" s="747"/>
    </row>
    <row r="69" spans="2:12" x14ac:dyDescent="0.2">
      <c r="B69" s="758" t="s">
        <v>386</v>
      </c>
      <c r="C69" s="759"/>
      <c r="D69" s="759"/>
      <c r="E69" s="759"/>
      <c r="F69" s="759"/>
      <c r="G69" s="759"/>
      <c r="H69" s="759"/>
      <c r="I69" s="759"/>
      <c r="J69" s="759"/>
      <c r="K69" s="759"/>
      <c r="L69" s="760"/>
    </row>
    <row r="70" spans="2:12" x14ac:dyDescent="0.2">
      <c r="B70" s="269">
        <v>1</v>
      </c>
      <c r="C70" s="757" t="s">
        <v>419</v>
      </c>
      <c r="D70" s="746"/>
      <c r="E70" s="746"/>
      <c r="F70" s="746"/>
      <c r="G70" s="746"/>
      <c r="H70" s="746"/>
      <c r="I70" s="746"/>
      <c r="J70" s="746"/>
      <c r="K70" s="746"/>
      <c r="L70" s="747"/>
    </row>
    <row r="71" spans="2:12" x14ac:dyDescent="0.2">
      <c r="B71" s="269"/>
      <c r="C71" s="757"/>
      <c r="D71" s="746"/>
      <c r="E71" s="746"/>
      <c r="F71" s="746"/>
      <c r="G71" s="746"/>
      <c r="H71" s="746"/>
      <c r="I71" s="746"/>
      <c r="J71" s="746"/>
      <c r="K71" s="746"/>
      <c r="L71" s="747"/>
    </row>
    <row r="72" spans="2:12" x14ac:dyDescent="0.2">
      <c r="B72" s="269"/>
      <c r="C72" s="757"/>
      <c r="D72" s="746"/>
      <c r="E72" s="746"/>
      <c r="F72" s="746"/>
      <c r="G72" s="746"/>
      <c r="H72" s="746"/>
      <c r="I72" s="746"/>
      <c r="J72" s="746"/>
      <c r="K72" s="746"/>
      <c r="L72" s="747"/>
    </row>
    <row r="73" spans="2:12" x14ac:dyDescent="0.2">
      <c r="B73" s="758" t="s">
        <v>387</v>
      </c>
      <c r="C73" s="759"/>
      <c r="D73" s="759"/>
      <c r="E73" s="759"/>
      <c r="F73" s="759"/>
      <c r="G73" s="759"/>
      <c r="H73" s="759"/>
      <c r="I73" s="759"/>
      <c r="J73" s="759"/>
      <c r="K73" s="759"/>
      <c r="L73" s="760"/>
    </row>
    <row r="74" spans="2:12" x14ac:dyDescent="0.2">
      <c r="B74" s="269"/>
      <c r="C74" s="757"/>
      <c r="D74" s="746"/>
      <c r="E74" s="746"/>
      <c r="F74" s="746"/>
      <c r="G74" s="746"/>
      <c r="H74" s="746"/>
      <c r="I74" s="746"/>
      <c r="J74" s="746"/>
      <c r="K74" s="746"/>
      <c r="L74" s="747"/>
    </row>
    <row r="75" spans="2:12" x14ac:dyDescent="0.2">
      <c r="B75" s="269"/>
      <c r="C75" s="757"/>
      <c r="D75" s="746"/>
      <c r="E75" s="746"/>
      <c r="F75" s="746"/>
      <c r="G75" s="746"/>
      <c r="H75" s="746"/>
      <c r="I75" s="746"/>
      <c r="J75" s="746"/>
      <c r="K75" s="746"/>
      <c r="L75" s="747"/>
    </row>
    <row r="76" spans="2:12" x14ac:dyDescent="0.2">
      <c r="B76" s="269"/>
      <c r="C76" s="757"/>
      <c r="D76" s="746"/>
      <c r="E76" s="746"/>
      <c r="F76" s="746"/>
      <c r="G76" s="746"/>
      <c r="H76" s="746"/>
      <c r="I76" s="746"/>
      <c r="J76" s="746"/>
      <c r="K76" s="746"/>
      <c r="L76" s="747"/>
    </row>
    <row r="77" spans="2:12" x14ac:dyDescent="0.2">
      <c r="B77" s="761" t="s">
        <v>383</v>
      </c>
      <c r="C77" s="762"/>
      <c r="D77" s="762"/>
      <c r="E77" s="762"/>
      <c r="F77" s="762"/>
      <c r="G77" s="762"/>
      <c r="H77" s="762"/>
      <c r="I77" s="762"/>
      <c r="J77" s="762"/>
      <c r="K77" s="762"/>
      <c r="L77" s="763"/>
    </row>
    <row r="78" spans="2:12" x14ac:dyDescent="0.2">
      <c r="B78" s="764"/>
      <c r="C78" s="746"/>
      <c r="D78" s="746"/>
      <c r="E78" s="746"/>
      <c r="F78" s="746"/>
      <c r="G78" s="746"/>
      <c r="H78" s="746"/>
      <c r="I78" s="746"/>
      <c r="J78" s="746"/>
      <c r="K78" s="746"/>
      <c r="L78" s="747"/>
    </row>
    <row r="79" spans="2:12" x14ac:dyDescent="0.2">
      <c r="B79" s="764"/>
      <c r="C79" s="746"/>
      <c r="D79" s="746"/>
      <c r="E79" s="746"/>
      <c r="F79" s="746"/>
      <c r="G79" s="746"/>
      <c r="H79" s="746"/>
      <c r="I79" s="746"/>
      <c r="J79" s="746"/>
      <c r="K79" s="746"/>
      <c r="L79" s="747"/>
    </row>
    <row r="80" spans="2:12" x14ac:dyDescent="0.2">
      <c r="B80" s="764"/>
      <c r="C80" s="746"/>
      <c r="D80" s="746"/>
      <c r="E80" s="746"/>
      <c r="F80" s="746"/>
      <c r="G80" s="746"/>
      <c r="H80" s="746"/>
      <c r="I80" s="746"/>
      <c r="J80" s="746"/>
      <c r="K80" s="746"/>
      <c r="L80" s="747"/>
    </row>
    <row r="81" spans="2:12" x14ac:dyDescent="0.2">
      <c r="B81" s="764"/>
      <c r="C81" s="746"/>
      <c r="D81" s="746"/>
      <c r="E81" s="746"/>
      <c r="F81" s="746"/>
      <c r="G81" s="746"/>
      <c r="H81" s="746"/>
      <c r="I81" s="746"/>
      <c r="J81" s="746"/>
      <c r="K81" s="746"/>
      <c r="L81" s="747"/>
    </row>
    <row r="82" spans="2:12" x14ac:dyDescent="0.2">
      <c r="B82" s="768"/>
      <c r="C82" s="769"/>
      <c r="D82" s="769"/>
      <c r="E82" s="769"/>
      <c r="F82" s="769"/>
      <c r="G82" s="250"/>
      <c r="H82" s="769"/>
      <c r="I82" s="769"/>
      <c r="J82" s="769"/>
      <c r="K82" s="769"/>
      <c r="L82" s="774"/>
    </row>
    <row r="83" spans="2:12" x14ac:dyDescent="0.2">
      <c r="B83" s="770"/>
      <c r="C83" s="771"/>
      <c r="D83" s="771"/>
      <c r="E83" s="771"/>
      <c r="F83" s="771"/>
      <c r="G83" s="251"/>
      <c r="H83" s="771"/>
      <c r="I83" s="771"/>
      <c r="J83" s="771"/>
      <c r="K83" s="771"/>
      <c r="L83" s="775"/>
    </row>
    <row r="84" spans="2:12" x14ac:dyDescent="0.2">
      <c r="B84" s="770"/>
      <c r="C84" s="771"/>
      <c r="D84" s="771"/>
      <c r="E84" s="771"/>
      <c r="F84" s="771"/>
      <c r="G84" s="251"/>
      <c r="H84" s="771"/>
      <c r="I84" s="771"/>
      <c r="J84" s="771"/>
      <c r="K84" s="771"/>
      <c r="L84" s="775"/>
    </row>
    <row r="85" spans="2:12" x14ac:dyDescent="0.2">
      <c r="B85" s="772"/>
      <c r="C85" s="773"/>
      <c r="D85" s="773"/>
      <c r="E85" s="773"/>
      <c r="F85" s="773"/>
      <c r="G85" s="261"/>
      <c r="H85" s="773"/>
      <c r="I85" s="773"/>
      <c r="J85" s="773"/>
      <c r="K85" s="773"/>
      <c r="L85" s="776"/>
    </row>
    <row r="86" spans="2:12" ht="13.5" thickBot="1" x14ac:dyDescent="0.25">
      <c r="B86" s="751" t="s">
        <v>384</v>
      </c>
      <c r="C86" s="752"/>
      <c r="D86" s="752"/>
      <c r="E86" s="752"/>
      <c r="F86" s="752"/>
      <c r="G86" s="262"/>
      <c r="H86" s="752" t="s">
        <v>385</v>
      </c>
      <c r="I86" s="752"/>
      <c r="J86" s="752"/>
      <c r="K86" s="752"/>
      <c r="L86" s="753"/>
    </row>
    <row r="88" spans="2:12" ht="13.5" thickBot="1" x14ac:dyDescent="0.25"/>
    <row r="89" spans="2:12" ht="23.25" x14ac:dyDescent="0.2">
      <c r="B89" s="862" t="s">
        <v>336</v>
      </c>
      <c r="C89" s="863"/>
      <c r="D89" s="863"/>
      <c r="E89" s="863"/>
      <c r="F89" s="863"/>
      <c r="G89" s="863"/>
      <c r="H89" s="863"/>
      <c r="I89" s="863"/>
      <c r="J89" s="863"/>
      <c r="K89" s="863"/>
      <c r="L89" s="864"/>
    </row>
    <row r="90" spans="2:12" ht="20.25" x14ac:dyDescent="0.2">
      <c r="B90" s="20"/>
      <c r="C90" s="21"/>
      <c r="D90" s="210"/>
      <c r="E90" s="210"/>
      <c r="F90" s="210"/>
      <c r="G90" s="210"/>
      <c r="H90" s="210"/>
      <c r="I90" s="210"/>
      <c r="J90" s="210"/>
      <c r="K90" s="211" t="str">
        <f>("DATA ATUAL:"&amp;"    "&amp;UPPER(LEFT(TEXT(L90,"DDDD"),7)))</f>
        <v>DATA ATUAL:    QUARTA-</v>
      </c>
      <c r="L90" s="253">
        <v>44671</v>
      </c>
    </row>
    <row r="91" spans="2:12" ht="20.25" x14ac:dyDescent="0.2">
      <c r="B91" s="20"/>
      <c r="C91" s="21"/>
      <c r="D91" s="212"/>
      <c r="E91" s="212"/>
      <c r="F91" s="212"/>
      <c r="G91" s="212"/>
      <c r="H91" s="212"/>
      <c r="I91" s="212"/>
      <c r="J91" s="212"/>
      <c r="K91" s="211" t="s">
        <v>337</v>
      </c>
      <c r="L91" s="254">
        <v>2</v>
      </c>
    </row>
    <row r="92" spans="2:12" ht="20.25" x14ac:dyDescent="0.2">
      <c r="B92" s="20"/>
      <c r="C92" s="21"/>
      <c r="D92" s="865" t="s">
        <v>338</v>
      </c>
      <c r="E92" s="865"/>
      <c r="F92" s="865"/>
      <c r="G92" s="865"/>
      <c r="H92" s="865"/>
      <c r="I92" s="865"/>
      <c r="J92" s="212"/>
      <c r="K92" s="211" t="s">
        <v>339</v>
      </c>
      <c r="L92" s="255">
        <f>IFERROR(IF(AND(L97&gt;0,L96&gt;0),L97-L96,0),"")</f>
        <v>31</v>
      </c>
    </row>
    <row r="93" spans="2:12" x14ac:dyDescent="0.2">
      <c r="B93" s="20"/>
      <c r="C93" s="21"/>
      <c r="D93" s="866" t="s">
        <v>340</v>
      </c>
      <c r="E93" s="866"/>
      <c r="F93" s="866"/>
      <c r="G93" s="866"/>
      <c r="H93" s="866"/>
      <c r="I93" s="866"/>
      <c r="J93" s="213"/>
      <c r="K93" s="211" t="s">
        <v>341</v>
      </c>
      <c r="L93" s="255">
        <f>IF(OR(AND(K143&lt;&gt;"",K144&lt;&gt;"",K145&lt;&gt;""),AND(D139&lt;&gt;"",F139&lt;&gt;"")),IF(L96&gt;0,(L90-L96)-1,0),IF(L96&gt;0,L90-L96+1,0))</f>
        <v>2</v>
      </c>
    </row>
    <row r="94" spans="2:12" x14ac:dyDescent="0.2">
      <c r="B94" s="20"/>
      <c r="C94" s="21"/>
      <c r="D94" s="867" t="s">
        <v>342</v>
      </c>
      <c r="E94" s="867"/>
      <c r="F94" s="867"/>
      <c r="G94" s="867"/>
      <c r="H94" s="867"/>
      <c r="I94" s="867"/>
      <c r="J94" s="214"/>
      <c r="K94" s="211" t="s">
        <v>343</v>
      </c>
      <c r="L94" s="255">
        <f>IFERROR(L92-L93,"")</f>
        <v>29</v>
      </c>
    </row>
    <row r="95" spans="2:12" x14ac:dyDescent="0.2">
      <c r="B95" s="758" t="s">
        <v>344</v>
      </c>
      <c r="C95" s="759"/>
      <c r="D95" s="759"/>
      <c r="E95" s="759"/>
      <c r="F95" s="759"/>
      <c r="G95" s="759"/>
      <c r="H95" s="759"/>
      <c r="I95" s="759"/>
      <c r="J95" s="759"/>
      <c r="K95" s="759"/>
      <c r="L95" s="760"/>
    </row>
    <row r="96" spans="2:12" x14ac:dyDescent="0.2">
      <c r="B96" s="868" t="s">
        <v>345</v>
      </c>
      <c r="C96" s="852"/>
      <c r="D96" s="852" t="s">
        <v>404</v>
      </c>
      <c r="E96" s="852"/>
      <c r="F96" s="852"/>
      <c r="G96" s="852"/>
      <c r="H96" s="852"/>
      <c r="I96" s="852"/>
      <c r="J96" s="852"/>
      <c r="K96" s="216" t="s">
        <v>346</v>
      </c>
      <c r="L96" s="217">
        <v>44670</v>
      </c>
    </row>
    <row r="97" spans="2:12" x14ac:dyDescent="0.2">
      <c r="B97" s="283" t="s">
        <v>347</v>
      </c>
      <c r="C97" s="852"/>
      <c r="D97" s="852"/>
      <c r="E97" s="852"/>
      <c r="F97" s="852"/>
      <c r="G97" s="852"/>
      <c r="H97" s="852"/>
      <c r="I97" s="852"/>
      <c r="J97" s="852"/>
      <c r="K97" s="216" t="s">
        <v>348</v>
      </c>
      <c r="L97" s="217">
        <v>44701</v>
      </c>
    </row>
    <row r="98" spans="2:12" x14ac:dyDescent="0.2">
      <c r="B98" s="868" t="s">
        <v>349</v>
      </c>
      <c r="C98" s="852"/>
      <c r="D98" s="852" t="s">
        <v>405</v>
      </c>
      <c r="E98" s="852"/>
      <c r="F98" s="852"/>
      <c r="G98" s="852"/>
      <c r="H98" s="852"/>
      <c r="I98" s="852"/>
      <c r="J98" s="852"/>
      <c r="K98" s="852"/>
      <c r="L98" s="853"/>
    </row>
    <row r="99" spans="2:12" x14ac:dyDescent="0.2">
      <c r="B99" s="868" t="s">
        <v>350</v>
      </c>
      <c r="C99" s="869"/>
      <c r="D99" s="869"/>
      <c r="E99" s="852" t="s">
        <v>402</v>
      </c>
      <c r="F99" s="852"/>
      <c r="G99" s="852"/>
      <c r="H99" s="852"/>
      <c r="I99" s="852"/>
      <c r="J99" s="852"/>
      <c r="K99" s="852"/>
      <c r="L99" s="853"/>
    </row>
    <row r="100" spans="2:12" x14ac:dyDescent="0.2">
      <c r="B100" s="283" t="s">
        <v>351</v>
      </c>
      <c r="C100" s="284"/>
      <c r="D100" s="870"/>
      <c r="E100" s="870"/>
      <c r="F100" s="870"/>
      <c r="G100" s="870"/>
      <c r="H100" s="870"/>
      <c r="I100" s="870"/>
      <c r="J100" s="870"/>
      <c r="K100" s="870"/>
      <c r="L100" s="871"/>
    </row>
    <row r="101" spans="2:12" x14ac:dyDescent="0.2">
      <c r="B101" s="758" t="s">
        <v>352</v>
      </c>
      <c r="C101" s="759"/>
      <c r="D101" s="759"/>
      <c r="E101" s="759"/>
      <c r="F101" s="759"/>
      <c r="G101" s="759"/>
      <c r="H101" s="759"/>
      <c r="I101" s="759"/>
      <c r="J101" s="759"/>
      <c r="K101" s="759"/>
      <c r="L101" s="760"/>
    </row>
    <row r="102" spans="2:12" x14ac:dyDescent="0.2">
      <c r="B102" s="868" t="s">
        <v>353</v>
      </c>
      <c r="C102" s="869"/>
      <c r="D102" s="869"/>
      <c r="E102" s="284"/>
      <c r="F102" s="872"/>
      <c r="G102" s="872"/>
      <c r="H102" s="872"/>
      <c r="I102" s="872"/>
      <c r="J102" s="872"/>
      <c r="K102" s="872"/>
      <c r="L102" s="815"/>
    </row>
    <row r="103" spans="2:12" x14ac:dyDescent="0.2">
      <c r="B103" s="219" t="s">
        <v>321</v>
      </c>
      <c r="C103" s="215"/>
      <c r="D103" s="870"/>
      <c r="E103" s="870"/>
      <c r="F103" s="870"/>
      <c r="G103" s="870"/>
      <c r="H103" s="870"/>
      <c r="I103" s="870"/>
      <c r="J103" s="870"/>
      <c r="K103" s="870"/>
      <c r="L103" s="871"/>
    </row>
    <row r="104" spans="2:12" x14ac:dyDescent="0.2">
      <c r="B104" s="219" t="s">
        <v>351</v>
      </c>
      <c r="C104" s="215"/>
      <c r="D104" s="870"/>
      <c r="E104" s="870"/>
      <c r="F104" s="870"/>
      <c r="G104" s="870"/>
      <c r="H104" s="870"/>
      <c r="I104" s="870"/>
      <c r="J104" s="870"/>
      <c r="K104" s="870"/>
      <c r="L104" s="871"/>
    </row>
    <row r="105" spans="2:12" x14ac:dyDescent="0.2">
      <c r="B105" s="219" t="s">
        <v>354</v>
      </c>
      <c r="C105" s="215"/>
      <c r="D105" s="870"/>
      <c r="E105" s="870"/>
      <c r="F105" s="870"/>
      <c r="G105" s="870"/>
      <c r="H105" s="870"/>
      <c r="I105" s="870"/>
      <c r="J105" s="870"/>
      <c r="K105" s="870"/>
      <c r="L105" s="871"/>
    </row>
    <row r="106" spans="2:12" x14ac:dyDescent="0.2">
      <c r="B106" s="758" t="s">
        <v>355</v>
      </c>
      <c r="C106" s="759"/>
      <c r="D106" s="759"/>
      <c r="E106" s="759"/>
      <c r="F106" s="759"/>
      <c r="G106" s="759"/>
      <c r="H106" s="759"/>
      <c r="I106" s="759"/>
      <c r="J106" s="759"/>
      <c r="K106" s="759"/>
      <c r="L106" s="760"/>
    </row>
    <row r="107" spans="2:12" x14ac:dyDescent="0.2">
      <c r="B107" s="803" t="s">
        <v>356</v>
      </c>
      <c r="C107" s="782"/>
      <c r="D107" s="782"/>
      <c r="E107" s="782"/>
      <c r="F107" s="782"/>
      <c r="G107" s="782"/>
      <c r="H107" s="782"/>
      <c r="I107" s="782"/>
      <c r="J107" s="782"/>
      <c r="K107" s="782"/>
      <c r="L107" s="804"/>
    </row>
    <row r="108" spans="2:12" x14ac:dyDescent="0.2">
      <c r="B108" s="854" t="s">
        <v>357</v>
      </c>
      <c r="C108" s="824"/>
      <c r="D108" s="825"/>
      <c r="E108" s="840" t="s">
        <v>358</v>
      </c>
      <c r="F108" s="841"/>
      <c r="G108" s="841"/>
      <c r="H108" s="841"/>
      <c r="I108" s="841"/>
      <c r="J108" s="841"/>
      <c r="K108" s="842"/>
      <c r="L108" s="855" t="s">
        <v>359</v>
      </c>
    </row>
    <row r="109" spans="2:12" x14ac:dyDescent="0.2">
      <c r="B109" s="854"/>
      <c r="C109" s="824"/>
      <c r="D109" s="825"/>
      <c r="E109" s="843"/>
      <c r="F109" s="844"/>
      <c r="G109" s="844"/>
      <c r="H109" s="844"/>
      <c r="I109" s="844"/>
      <c r="J109" s="844"/>
      <c r="K109" s="845"/>
      <c r="L109" s="856"/>
    </row>
    <row r="110" spans="2:12" x14ac:dyDescent="0.2">
      <c r="B110" s="857" t="s">
        <v>400</v>
      </c>
      <c r="C110" s="746"/>
      <c r="D110" s="858"/>
      <c r="E110" s="748" t="s">
        <v>403</v>
      </c>
      <c r="F110" s="859"/>
      <c r="G110" s="859"/>
      <c r="H110" s="859"/>
      <c r="I110" s="859"/>
      <c r="J110" s="859"/>
      <c r="K110" s="858"/>
      <c r="L110" s="220">
        <v>2</v>
      </c>
    </row>
    <row r="111" spans="2:12" x14ac:dyDescent="0.2">
      <c r="B111" s="857" t="s">
        <v>411</v>
      </c>
      <c r="C111" s="746"/>
      <c r="D111" s="858"/>
      <c r="E111" s="860" t="s">
        <v>413</v>
      </c>
      <c r="F111" s="859"/>
      <c r="G111" s="859"/>
      <c r="H111" s="859"/>
      <c r="I111" s="859"/>
      <c r="J111" s="859"/>
      <c r="K111" s="858"/>
      <c r="L111" s="221">
        <v>1</v>
      </c>
    </row>
    <row r="112" spans="2:12" x14ac:dyDescent="0.2">
      <c r="B112" s="857"/>
      <c r="C112" s="746"/>
      <c r="D112" s="858"/>
      <c r="E112" s="860"/>
      <c r="F112" s="859"/>
      <c r="G112" s="859"/>
      <c r="H112" s="859"/>
      <c r="I112" s="859"/>
      <c r="J112" s="859"/>
      <c r="K112" s="858"/>
      <c r="L112" s="221"/>
    </row>
    <row r="113" spans="2:12" x14ac:dyDescent="0.2">
      <c r="B113" s="777" t="s">
        <v>360</v>
      </c>
      <c r="C113" s="861"/>
      <c r="D113" s="861"/>
      <c r="E113" s="861"/>
      <c r="F113" s="861"/>
      <c r="G113" s="861"/>
      <c r="H113" s="861"/>
      <c r="I113" s="861"/>
      <c r="J113" s="861"/>
      <c r="K113" s="779"/>
      <c r="L113" s="224">
        <f>SUM(L110:L112)</f>
        <v>3</v>
      </c>
    </row>
    <row r="114" spans="2:12" x14ac:dyDescent="0.2">
      <c r="B114" s="803" t="s">
        <v>361</v>
      </c>
      <c r="C114" s="782"/>
      <c r="D114" s="782"/>
      <c r="E114" s="782"/>
      <c r="F114" s="782"/>
      <c r="G114" s="782"/>
      <c r="H114" s="782"/>
      <c r="I114" s="782"/>
      <c r="J114" s="782"/>
      <c r="K114" s="782"/>
      <c r="L114" s="804"/>
    </row>
    <row r="115" spans="2:12" x14ac:dyDescent="0.2">
      <c r="B115" s="834" t="s">
        <v>362</v>
      </c>
      <c r="C115" s="840" t="s">
        <v>357</v>
      </c>
      <c r="D115" s="842"/>
      <c r="E115" s="840" t="s">
        <v>358</v>
      </c>
      <c r="F115" s="841"/>
      <c r="G115" s="841"/>
      <c r="H115" s="841"/>
      <c r="I115" s="841"/>
      <c r="J115" s="841"/>
      <c r="K115" s="842"/>
      <c r="L115" s="816" t="s">
        <v>359</v>
      </c>
    </row>
    <row r="116" spans="2:12" x14ac:dyDescent="0.2">
      <c r="B116" s="835"/>
      <c r="C116" s="843"/>
      <c r="D116" s="845"/>
      <c r="E116" s="843"/>
      <c r="F116" s="844"/>
      <c r="G116" s="844"/>
      <c r="H116" s="844"/>
      <c r="I116" s="844"/>
      <c r="J116" s="844"/>
      <c r="K116" s="845"/>
      <c r="L116" s="817"/>
    </row>
    <row r="117" spans="2:12" x14ac:dyDescent="0.2">
      <c r="B117" s="286"/>
      <c r="C117" s="818"/>
      <c r="D117" s="819"/>
      <c r="E117" s="820"/>
      <c r="F117" s="821"/>
      <c r="G117" s="821"/>
      <c r="H117" s="821"/>
      <c r="I117" s="821"/>
      <c r="J117" s="821"/>
      <c r="K117" s="822"/>
      <c r="L117" s="287"/>
    </row>
    <row r="118" spans="2:12" x14ac:dyDescent="0.2">
      <c r="B118" s="286"/>
      <c r="C118" s="818"/>
      <c r="D118" s="819"/>
      <c r="E118" s="820"/>
      <c r="F118" s="821"/>
      <c r="G118" s="821"/>
      <c r="H118" s="821"/>
      <c r="I118" s="821"/>
      <c r="J118" s="821"/>
      <c r="K118" s="822"/>
      <c r="L118" s="287"/>
    </row>
    <row r="119" spans="2:12" x14ac:dyDescent="0.2">
      <c r="B119" s="286"/>
      <c r="C119" s="818"/>
      <c r="D119" s="819"/>
      <c r="E119" s="823"/>
      <c r="F119" s="824"/>
      <c r="G119" s="824"/>
      <c r="H119" s="824"/>
      <c r="I119" s="824"/>
      <c r="J119" s="824"/>
      <c r="K119" s="825"/>
      <c r="L119" s="287"/>
    </row>
    <row r="120" spans="2:12" x14ac:dyDescent="0.2">
      <c r="B120" s="286"/>
      <c r="C120" s="818"/>
      <c r="D120" s="819"/>
      <c r="E120" s="823"/>
      <c r="F120" s="824"/>
      <c r="G120" s="824"/>
      <c r="H120" s="824"/>
      <c r="I120" s="824"/>
      <c r="J120" s="824"/>
      <c r="K120" s="825"/>
      <c r="L120" s="287"/>
    </row>
    <row r="121" spans="2:12" x14ac:dyDescent="0.2">
      <c r="B121" s="286"/>
      <c r="C121" s="818"/>
      <c r="D121" s="819"/>
      <c r="E121" s="823"/>
      <c r="F121" s="824"/>
      <c r="G121" s="824"/>
      <c r="H121" s="824"/>
      <c r="I121" s="824"/>
      <c r="J121" s="824"/>
      <c r="K121" s="825"/>
      <c r="L121" s="287"/>
    </row>
    <row r="122" spans="2:12" x14ac:dyDescent="0.2">
      <c r="B122" s="286"/>
      <c r="C122" s="818"/>
      <c r="D122" s="819"/>
      <c r="E122" s="823"/>
      <c r="F122" s="824"/>
      <c r="G122" s="824"/>
      <c r="H122" s="824"/>
      <c r="I122" s="824"/>
      <c r="J122" s="824"/>
      <c r="K122" s="825"/>
      <c r="L122" s="287"/>
    </row>
    <row r="123" spans="2:12" x14ac:dyDescent="0.2">
      <c r="B123" s="286"/>
      <c r="C123" s="818"/>
      <c r="D123" s="819"/>
      <c r="E123" s="823"/>
      <c r="F123" s="824"/>
      <c r="G123" s="824"/>
      <c r="H123" s="824"/>
      <c r="I123" s="824"/>
      <c r="J123" s="824"/>
      <c r="K123" s="825"/>
      <c r="L123" s="287"/>
    </row>
    <row r="124" spans="2:12" x14ac:dyDescent="0.2">
      <c r="B124" s="286"/>
      <c r="C124" s="818"/>
      <c r="D124" s="819"/>
      <c r="E124" s="823"/>
      <c r="F124" s="824"/>
      <c r="G124" s="824"/>
      <c r="H124" s="824"/>
      <c r="I124" s="824"/>
      <c r="J124" s="824"/>
      <c r="K124" s="825"/>
      <c r="L124" s="287"/>
    </row>
    <row r="125" spans="2:12" x14ac:dyDescent="0.2">
      <c r="B125" s="826" t="s">
        <v>360</v>
      </c>
      <c r="C125" s="827"/>
      <c r="D125" s="827"/>
      <c r="E125" s="827"/>
      <c r="F125" s="827"/>
      <c r="G125" s="827"/>
      <c r="H125" s="827"/>
      <c r="I125" s="827"/>
      <c r="J125" s="827"/>
      <c r="K125" s="828"/>
      <c r="L125" s="227">
        <f>SUM(L117:L124)</f>
        <v>0</v>
      </c>
    </row>
    <row r="126" spans="2:12" x14ac:dyDescent="0.2">
      <c r="B126" s="829" t="s">
        <v>406</v>
      </c>
      <c r="C126" s="830"/>
      <c r="D126" s="830"/>
      <c r="E126" s="830"/>
      <c r="F126" s="830"/>
      <c r="G126" s="830"/>
      <c r="H126" s="830"/>
      <c r="I126" s="830"/>
      <c r="J126" s="830"/>
      <c r="K126" s="831"/>
      <c r="L126" s="228">
        <f>L125+L113</f>
        <v>3</v>
      </c>
    </row>
    <row r="127" spans="2:12" x14ac:dyDescent="0.2">
      <c r="B127" s="758" t="s">
        <v>215</v>
      </c>
      <c r="C127" s="759"/>
      <c r="D127" s="759"/>
      <c r="E127" s="759"/>
      <c r="F127" s="759"/>
      <c r="G127" s="759"/>
      <c r="H127" s="759"/>
      <c r="I127" s="759"/>
      <c r="J127" s="759"/>
      <c r="K127" s="759"/>
      <c r="L127" s="760"/>
    </row>
    <row r="128" spans="2:12" x14ac:dyDescent="0.2">
      <c r="B128" s="803" t="s">
        <v>363</v>
      </c>
      <c r="C128" s="782"/>
      <c r="D128" s="782"/>
      <c r="E128" s="782"/>
      <c r="F128" s="782"/>
      <c r="G128" s="782"/>
      <c r="H128" s="782"/>
      <c r="I128" s="782"/>
      <c r="J128" s="803" t="s">
        <v>364</v>
      </c>
      <c r="K128" s="782"/>
      <c r="L128" s="804"/>
    </row>
    <row r="129" spans="2:12" x14ac:dyDescent="0.2">
      <c r="B129" s="834" t="s">
        <v>362</v>
      </c>
      <c r="C129" s="836" t="s">
        <v>29</v>
      </c>
      <c r="D129" s="837"/>
      <c r="E129" s="840" t="s">
        <v>1</v>
      </c>
      <c r="F129" s="841"/>
      <c r="G129" s="841"/>
      <c r="H129" s="842"/>
      <c r="I129" s="846" t="s">
        <v>359</v>
      </c>
      <c r="J129" s="848" t="s">
        <v>29</v>
      </c>
      <c r="K129" s="850" t="s">
        <v>1</v>
      </c>
      <c r="L129" s="846" t="s">
        <v>365</v>
      </c>
    </row>
    <row r="130" spans="2:12" x14ac:dyDescent="0.2">
      <c r="B130" s="835"/>
      <c r="C130" s="838"/>
      <c r="D130" s="839"/>
      <c r="E130" s="843"/>
      <c r="F130" s="844"/>
      <c r="G130" s="844"/>
      <c r="H130" s="845"/>
      <c r="I130" s="847"/>
      <c r="J130" s="849"/>
      <c r="K130" s="851"/>
      <c r="L130" s="847"/>
    </row>
    <row r="131" spans="2:12" x14ac:dyDescent="0.2">
      <c r="B131" s="229"/>
      <c r="C131" s="832"/>
      <c r="D131" s="822"/>
      <c r="E131" s="832"/>
      <c r="F131" s="833"/>
      <c r="G131" s="833"/>
      <c r="H131" s="822"/>
      <c r="I131" s="231"/>
      <c r="J131" s="285"/>
      <c r="K131" s="299"/>
      <c r="L131" s="221"/>
    </row>
    <row r="132" spans="2:12" x14ac:dyDescent="0.2">
      <c r="B132" s="229"/>
      <c r="C132" s="832"/>
      <c r="D132" s="822"/>
      <c r="E132" s="832"/>
      <c r="F132" s="833"/>
      <c r="G132" s="833"/>
      <c r="H132" s="822"/>
      <c r="I132" s="234"/>
      <c r="J132" s="235"/>
      <c r="K132" s="236"/>
      <c r="L132" s="237"/>
    </row>
    <row r="133" spans="2:12" x14ac:dyDescent="0.2">
      <c r="B133" s="229"/>
      <c r="C133" s="832"/>
      <c r="D133" s="822"/>
      <c r="E133" s="832"/>
      <c r="F133" s="833"/>
      <c r="G133" s="833"/>
      <c r="H133" s="822"/>
      <c r="I133" s="239"/>
      <c r="J133" s="230"/>
      <c r="K133" s="238"/>
      <c r="L133" s="220"/>
    </row>
    <row r="134" spans="2:12" x14ac:dyDescent="0.2">
      <c r="B134" s="777" t="s">
        <v>366</v>
      </c>
      <c r="C134" s="778"/>
      <c r="D134" s="778"/>
      <c r="E134" s="778"/>
      <c r="F134" s="778"/>
      <c r="G134" s="778"/>
      <c r="H134" s="779"/>
      <c r="I134" s="252">
        <f>SUM(I131:I133)</f>
        <v>0</v>
      </c>
      <c r="J134" s="780" t="s">
        <v>366</v>
      </c>
      <c r="K134" s="781"/>
      <c r="L134" s="240">
        <f>SUM(L131:L133)</f>
        <v>0</v>
      </c>
    </row>
    <row r="135" spans="2:12" x14ac:dyDescent="0.2">
      <c r="B135" s="777" t="s">
        <v>27</v>
      </c>
      <c r="C135" s="778"/>
      <c r="D135" s="778"/>
      <c r="E135" s="778"/>
      <c r="F135" s="778"/>
      <c r="G135" s="778"/>
      <c r="H135" s="778"/>
      <c r="I135" s="778"/>
      <c r="J135" s="778"/>
      <c r="K135" s="779"/>
      <c r="L135" s="240">
        <f>L134+I134</f>
        <v>0</v>
      </c>
    </row>
    <row r="136" spans="2:12" x14ac:dyDescent="0.2">
      <c r="B136" s="758" t="s">
        <v>388</v>
      </c>
      <c r="C136" s="759"/>
      <c r="D136" s="759"/>
      <c r="E136" s="759"/>
      <c r="F136" s="759"/>
      <c r="G136" s="759"/>
      <c r="H136" s="759"/>
      <c r="I136" s="759"/>
      <c r="J136" s="759"/>
      <c r="K136" s="759"/>
      <c r="L136" s="760"/>
    </row>
    <row r="137" spans="2:12" x14ac:dyDescent="0.2">
      <c r="B137" s="803" t="s">
        <v>368</v>
      </c>
      <c r="C137" s="782"/>
      <c r="D137" s="804"/>
      <c r="E137" s="782" t="s">
        <v>394</v>
      </c>
      <c r="F137" s="782"/>
      <c r="G137" s="783" t="s">
        <v>389</v>
      </c>
      <c r="H137" s="784"/>
      <c r="I137" s="784"/>
      <c r="J137" s="784"/>
      <c r="K137" s="784"/>
      <c r="L137" s="785"/>
    </row>
    <row r="138" spans="2:12" x14ac:dyDescent="0.2">
      <c r="B138" s="786" t="s">
        <v>393</v>
      </c>
      <c r="C138" s="787"/>
      <c r="D138" s="265" t="s">
        <v>390</v>
      </c>
      <c r="E138" s="294" t="s">
        <v>391</v>
      </c>
      <c r="F138" s="264" t="s">
        <v>392</v>
      </c>
      <c r="G138" s="293"/>
      <c r="H138" s="294"/>
      <c r="I138" s="294"/>
      <c r="J138" s="294"/>
      <c r="K138" s="294"/>
      <c r="L138" s="295"/>
    </row>
    <row r="139" spans="2:12" x14ac:dyDescent="0.2">
      <c r="B139" s="324">
        <v>0.67361111111111116</v>
      </c>
      <c r="C139" s="324">
        <v>0.70833333333333337</v>
      </c>
      <c r="D139" s="788"/>
      <c r="E139" s="268"/>
      <c r="F139" s="790"/>
      <c r="G139" s="783"/>
      <c r="H139" s="784"/>
      <c r="I139" s="784"/>
      <c r="J139" s="784"/>
      <c r="K139" s="784"/>
      <c r="L139" s="785"/>
    </row>
    <row r="140" spans="2:12" x14ac:dyDescent="0.2">
      <c r="B140" s="324"/>
      <c r="C140" s="324"/>
      <c r="D140" s="789"/>
      <c r="E140" s="268"/>
      <c r="F140" s="791"/>
      <c r="G140" s="783"/>
      <c r="H140" s="784"/>
      <c r="I140" s="784"/>
      <c r="J140" s="784"/>
      <c r="K140" s="784"/>
      <c r="L140" s="785"/>
    </row>
    <row r="141" spans="2:12" x14ac:dyDescent="0.2">
      <c r="B141" s="792" t="s">
        <v>367</v>
      </c>
      <c r="C141" s="793"/>
      <c r="D141" s="793"/>
      <c r="E141" s="793"/>
      <c r="F141" s="793"/>
      <c r="G141" s="793"/>
      <c r="H141" s="793"/>
      <c r="I141" s="793"/>
      <c r="J141" s="793"/>
      <c r="K141" s="793"/>
      <c r="L141" s="794"/>
    </row>
    <row r="142" spans="2:12" ht="25.5" x14ac:dyDescent="0.2">
      <c r="B142" s="263" t="s">
        <v>368</v>
      </c>
      <c r="C142" s="795" t="s">
        <v>369</v>
      </c>
      <c r="D142" s="796"/>
      <c r="E142" s="797"/>
      <c r="F142" s="795" t="s">
        <v>370</v>
      </c>
      <c r="G142" s="796"/>
      <c r="H142" s="797"/>
      <c r="I142" s="795" t="s">
        <v>371</v>
      </c>
      <c r="J142" s="797"/>
      <c r="K142" s="241" t="s">
        <v>372</v>
      </c>
      <c r="L142" s="242" t="s">
        <v>373</v>
      </c>
    </row>
    <row r="143" spans="2:12" x14ac:dyDescent="0.2">
      <c r="B143" s="243" t="s">
        <v>374</v>
      </c>
      <c r="C143" s="798"/>
      <c r="D143" s="799"/>
      <c r="E143" s="800"/>
      <c r="F143" s="801"/>
      <c r="G143" s="802"/>
      <c r="H143" s="288"/>
      <c r="I143" s="801"/>
      <c r="J143" s="802"/>
      <c r="K143" s="266"/>
      <c r="L143" s="245"/>
    </row>
    <row r="144" spans="2:12" x14ac:dyDescent="0.2">
      <c r="B144" s="243" t="s">
        <v>375</v>
      </c>
      <c r="C144" s="798"/>
      <c r="D144" s="799"/>
      <c r="E144" s="800"/>
      <c r="F144" s="801" t="s">
        <v>407</v>
      </c>
      <c r="G144" s="802"/>
      <c r="H144" s="259"/>
      <c r="I144" s="801"/>
      <c r="J144" s="802"/>
      <c r="K144" s="266"/>
      <c r="L144" s="245"/>
    </row>
    <row r="145" spans="2:12" x14ac:dyDescent="0.2">
      <c r="B145" s="243" t="s">
        <v>376</v>
      </c>
      <c r="C145" s="798"/>
      <c r="D145" s="799"/>
      <c r="E145" s="800"/>
      <c r="F145" s="801" t="s">
        <v>407</v>
      </c>
      <c r="G145" s="802"/>
      <c r="H145" s="288"/>
      <c r="I145" s="801"/>
      <c r="J145" s="802"/>
      <c r="K145" s="266"/>
      <c r="L145" s="245"/>
    </row>
    <row r="146" spans="2:12" x14ac:dyDescent="0.2">
      <c r="B146" s="805" t="s">
        <v>377</v>
      </c>
      <c r="C146" s="806"/>
      <c r="D146" s="806"/>
      <c r="E146" s="806"/>
      <c r="F146" s="806"/>
      <c r="G146" s="806"/>
      <c r="H146" s="806"/>
      <c r="I146" s="806"/>
      <c r="J146" s="807"/>
      <c r="K146" s="814" t="s">
        <v>378</v>
      </c>
      <c r="L146" s="815"/>
    </row>
    <row r="147" spans="2:12" x14ac:dyDescent="0.2">
      <c r="B147" s="808"/>
      <c r="C147" s="809"/>
      <c r="D147" s="809"/>
      <c r="E147" s="809"/>
      <c r="F147" s="809"/>
      <c r="G147" s="809"/>
      <c r="H147" s="809"/>
      <c r="I147" s="809"/>
      <c r="J147" s="810"/>
      <c r="K147" s="246" t="s">
        <v>379</v>
      </c>
      <c r="L147" s="245"/>
    </row>
    <row r="148" spans="2:12" x14ac:dyDescent="0.2">
      <c r="B148" s="808"/>
      <c r="C148" s="809"/>
      <c r="D148" s="809"/>
      <c r="E148" s="809"/>
      <c r="F148" s="809"/>
      <c r="G148" s="809"/>
      <c r="H148" s="809"/>
      <c r="I148" s="809"/>
      <c r="J148" s="810"/>
      <c r="K148" s="246" t="s">
        <v>380</v>
      </c>
      <c r="L148" s="245"/>
    </row>
    <row r="149" spans="2:12" ht="13.5" thickBot="1" x14ac:dyDescent="0.25">
      <c r="B149" s="811"/>
      <c r="C149" s="812"/>
      <c r="D149" s="812"/>
      <c r="E149" s="812"/>
      <c r="F149" s="812"/>
      <c r="G149" s="812"/>
      <c r="H149" s="812"/>
      <c r="I149" s="812"/>
      <c r="J149" s="813"/>
      <c r="K149" s="247" t="s">
        <v>381</v>
      </c>
      <c r="L149" s="248"/>
    </row>
    <row r="150" spans="2:12" x14ac:dyDescent="0.2">
      <c r="B150" s="362"/>
      <c r="C150" s="360"/>
      <c r="D150" s="360"/>
      <c r="E150" s="360"/>
      <c r="F150" s="360"/>
      <c r="G150" s="360"/>
      <c r="H150" s="360"/>
      <c r="I150" s="360"/>
      <c r="J150" s="360"/>
      <c r="K150" s="361"/>
      <c r="L150" s="363"/>
    </row>
    <row r="151" spans="2:12" x14ac:dyDescent="0.2">
      <c r="B151" s="364"/>
      <c r="C151" s="365"/>
      <c r="D151" s="365"/>
      <c r="E151" s="365"/>
      <c r="F151" s="365"/>
      <c r="G151" s="365"/>
      <c r="H151" s="365"/>
      <c r="I151" s="365"/>
      <c r="J151" s="365"/>
      <c r="K151" s="365"/>
      <c r="L151" s="366"/>
    </row>
    <row r="152" spans="2:12" x14ac:dyDescent="0.2">
      <c r="B152" s="758" t="s">
        <v>382</v>
      </c>
      <c r="C152" s="759"/>
      <c r="D152" s="759"/>
      <c r="E152" s="759"/>
      <c r="F152" s="759"/>
      <c r="G152" s="759"/>
      <c r="H152" s="759"/>
      <c r="I152" s="759"/>
      <c r="J152" s="759"/>
      <c r="K152" s="759"/>
      <c r="L152" s="760"/>
    </row>
    <row r="153" spans="2:12" x14ac:dyDescent="0.2">
      <c r="B153" s="300">
        <v>1</v>
      </c>
      <c r="C153" s="745" t="s">
        <v>455</v>
      </c>
      <c r="D153" s="746"/>
      <c r="E153" s="746"/>
      <c r="F153" s="746"/>
      <c r="G153" s="746"/>
      <c r="H153" s="746"/>
      <c r="I153" s="746"/>
      <c r="J153" s="746"/>
      <c r="K153" s="746"/>
      <c r="L153" s="747"/>
    </row>
    <row r="154" spans="2:12" x14ac:dyDescent="0.2">
      <c r="B154" s="300"/>
      <c r="C154" s="745"/>
      <c r="D154" s="746"/>
      <c r="E154" s="746"/>
      <c r="F154" s="746"/>
      <c r="G154" s="746"/>
      <c r="H154" s="746"/>
      <c r="I154" s="746"/>
      <c r="J154" s="746"/>
      <c r="K154" s="746"/>
      <c r="L154" s="747"/>
    </row>
    <row r="155" spans="2:12" x14ac:dyDescent="0.2">
      <c r="B155" s="758" t="s">
        <v>386</v>
      </c>
      <c r="C155" s="759"/>
      <c r="D155" s="759"/>
      <c r="E155" s="759"/>
      <c r="F155" s="759"/>
      <c r="G155" s="759"/>
      <c r="H155" s="759"/>
      <c r="I155" s="759"/>
      <c r="J155" s="759"/>
      <c r="K155" s="759"/>
      <c r="L155" s="760"/>
    </row>
    <row r="156" spans="2:12" x14ac:dyDescent="0.2">
      <c r="B156" s="269">
        <v>1</v>
      </c>
      <c r="C156" s="757" t="s">
        <v>420</v>
      </c>
      <c r="D156" s="746"/>
      <c r="E156" s="746"/>
      <c r="F156" s="746"/>
      <c r="G156" s="746"/>
      <c r="H156" s="746"/>
      <c r="I156" s="746"/>
      <c r="J156" s="746"/>
      <c r="K156" s="746"/>
      <c r="L156" s="747"/>
    </row>
    <row r="157" spans="2:12" x14ac:dyDescent="0.2">
      <c r="B157" s="269"/>
      <c r="C157" s="757"/>
      <c r="D157" s="746"/>
      <c r="E157" s="746"/>
      <c r="F157" s="746"/>
      <c r="G157" s="746"/>
      <c r="H157" s="746"/>
      <c r="I157" s="746"/>
      <c r="J157" s="746"/>
      <c r="K157" s="746"/>
      <c r="L157" s="747"/>
    </row>
    <row r="158" spans="2:12" x14ac:dyDescent="0.2">
      <c r="B158" s="269"/>
      <c r="C158" s="757"/>
      <c r="D158" s="746"/>
      <c r="E158" s="746"/>
      <c r="F158" s="746"/>
      <c r="G158" s="746"/>
      <c r="H158" s="746"/>
      <c r="I158" s="746"/>
      <c r="J158" s="746"/>
      <c r="K158" s="746"/>
      <c r="L158" s="747"/>
    </row>
    <row r="159" spans="2:12" x14ac:dyDescent="0.2">
      <c r="B159" s="758" t="s">
        <v>387</v>
      </c>
      <c r="C159" s="759"/>
      <c r="D159" s="759"/>
      <c r="E159" s="759"/>
      <c r="F159" s="759"/>
      <c r="G159" s="759"/>
      <c r="H159" s="759"/>
      <c r="I159" s="759"/>
      <c r="J159" s="759"/>
      <c r="K159" s="759"/>
      <c r="L159" s="760"/>
    </row>
    <row r="160" spans="2:12" x14ac:dyDescent="0.2">
      <c r="B160" s="269"/>
      <c r="C160" s="745" t="s">
        <v>414</v>
      </c>
      <c r="D160" s="746"/>
      <c r="E160" s="746"/>
      <c r="F160" s="746"/>
      <c r="G160" s="746"/>
      <c r="H160" s="746"/>
      <c r="I160" s="746"/>
      <c r="J160" s="746"/>
      <c r="K160" s="746"/>
      <c r="L160" s="747"/>
    </row>
    <row r="161" spans="2:12" x14ac:dyDescent="0.2">
      <c r="B161" s="269"/>
      <c r="C161" s="745" t="s">
        <v>415</v>
      </c>
      <c r="D161" s="746"/>
      <c r="E161" s="746"/>
      <c r="F161" s="746"/>
      <c r="G161" s="746"/>
      <c r="H161" s="746"/>
      <c r="I161" s="746"/>
      <c r="J161" s="746"/>
      <c r="K161" s="746"/>
      <c r="L161" s="747"/>
    </row>
    <row r="162" spans="2:12" x14ac:dyDescent="0.2">
      <c r="B162" s="269"/>
      <c r="C162" s="757"/>
      <c r="D162" s="746"/>
      <c r="E162" s="746"/>
      <c r="F162" s="746"/>
      <c r="G162" s="746"/>
      <c r="H162" s="746"/>
      <c r="I162" s="746"/>
      <c r="J162" s="746"/>
      <c r="K162" s="746"/>
      <c r="L162" s="747"/>
    </row>
    <row r="163" spans="2:12" x14ac:dyDescent="0.2">
      <c r="B163" s="761" t="s">
        <v>383</v>
      </c>
      <c r="C163" s="762"/>
      <c r="D163" s="762"/>
      <c r="E163" s="762"/>
      <c r="F163" s="762"/>
      <c r="G163" s="762"/>
      <c r="H163" s="762"/>
      <c r="I163" s="762"/>
      <c r="J163" s="762"/>
      <c r="K163" s="762"/>
      <c r="L163" s="763"/>
    </row>
    <row r="164" spans="2:12" x14ac:dyDescent="0.2">
      <c r="B164" s="764"/>
      <c r="C164" s="746"/>
      <c r="D164" s="746"/>
      <c r="E164" s="746"/>
      <c r="F164" s="746"/>
      <c r="G164" s="746"/>
      <c r="H164" s="746"/>
      <c r="I164" s="746"/>
      <c r="J164" s="746"/>
      <c r="K164" s="746"/>
      <c r="L164" s="747"/>
    </row>
    <row r="165" spans="2:12" x14ac:dyDescent="0.2">
      <c r="B165" s="764"/>
      <c r="C165" s="746"/>
      <c r="D165" s="746"/>
      <c r="E165" s="746"/>
      <c r="F165" s="746"/>
      <c r="G165" s="746"/>
      <c r="H165" s="746"/>
      <c r="I165" s="746"/>
      <c r="J165" s="746"/>
      <c r="K165" s="746"/>
      <c r="L165" s="747"/>
    </row>
    <row r="166" spans="2:12" x14ac:dyDescent="0.2">
      <c r="B166" s="764"/>
      <c r="C166" s="746"/>
      <c r="D166" s="746"/>
      <c r="E166" s="746"/>
      <c r="F166" s="746"/>
      <c r="G166" s="746"/>
      <c r="H166" s="746"/>
      <c r="I166" s="746"/>
      <c r="J166" s="746"/>
      <c r="K166" s="746"/>
      <c r="L166" s="747"/>
    </row>
    <row r="167" spans="2:12" x14ac:dyDescent="0.2">
      <c r="B167" s="764"/>
      <c r="C167" s="746"/>
      <c r="D167" s="746"/>
      <c r="E167" s="746"/>
      <c r="F167" s="746"/>
      <c r="G167" s="746"/>
      <c r="H167" s="746"/>
      <c r="I167" s="746"/>
      <c r="J167" s="746"/>
      <c r="K167" s="746"/>
      <c r="L167" s="747"/>
    </row>
    <row r="168" spans="2:12" x14ac:dyDescent="0.2">
      <c r="B168" s="768"/>
      <c r="C168" s="769"/>
      <c r="D168" s="769"/>
      <c r="E168" s="769"/>
      <c r="F168" s="769"/>
      <c r="G168" s="289"/>
      <c r="H168" s="769"/>
      <c r="I168" s="769"/>
      <c r="J168" s="769"/>
      <c r="K168" s="769"/>
      <c r="L168" s="774"/>
    </row>
    <row r="169" spans="2:12" x14ac:dyDescent="0.2">
      <c r="B169" s="770"/>
      <c r="C169" s="771"/>
      <c r="D169" s="771"/>
      <c r="E169" s="771"/>
      <c r="F169" s="771"/>
      <c r="G169" s="290"/>
      <c r="H169" s="771"/>
      <c r="I169" s="771"/>
      <c r="J169" s="771"/>
      <c r="K169" s="771"/>
      <c r="L169" s="775"/>
    </row>
    <row r="170" spans="2:12" x14ac:dyDescent="0.2">
      <c r="B170" s="770"/>
      <c r="C170" s="771"/>
      <c r="D170" s="771"/>
      <c r="E170" s="771"/>
      <c r="F170" s="771"/>
      <c r="G170" s="290"/>
      <c r="H170" s="771"/>
      <c r="I170" s="771"/>
      <c r="J170" s="771"/>
      <c r="K170" s="771"/>
      <c r="L170" s="775"/>
    </row>
    <row r="171" spans="2:12" x14ac:dyDescent="0.2">
      <c r="B171" s="772"/>
      <c r="C171" s="773"/>
      <c r="D171" s="773"/>
      <c r="E171" s="773"/>
      <c r="F171" s="773"/>
      <c r="G171" s="291"/>
      <c r="H171" s="773"/>
      <c r="I171" s="773"/>
      <c r="J171" s="773"/>
      <c r="K171" s="773"/>
      <c r="L171" s="776"/>
    </row>
    <row r="172" spans="2:12" ht="13.5" thickBot="1" x14ac:dyDescent="0.25">
      <c r="B172" s="751" t="s">
        <v>384</v>
      </c>
      <c r="C172" s="752"/>
      <c r="D172" s="752"/>
      <c r="E172" s="752"/>
      <c r="F172" s="752"/>
      <c r="G172" s="292"/>
      <c r="H172" s="752" t="s">
        <v>385</v>
      </c>
      <c r="I172" s="752"/>
      <c r="J172" s="752"/>
      <c r="K172" s="752"/>
      <c r="L172" s="753"/>
    </row>
    <row r="174" spans="2:12" ht="13.5" thickBot="1" x14ac:dyDescent="0.25"/>
    <row r="175" spans="2:12" ht="23.25" x14ac:dyDescent="0.2">
      <c r="B175" s="862" t="s">
        <v>336</v>
      </c>
      <c r="C175" s="863"/>
      <c r="D175" s="863"/>
      <c r="E175" s="863"/>
      <c r="F175" s="863"/>
      <c r="G175" s="863"/>
      <c r="H175" s="863"/>
      <c r="I175" s="863"/>
      <c r="J175" s="863"/>
      <c r="K175" s="863"/>
      <c r="L175" s="864"/>
    </row>
    <row r="176" spans="2:12" ht="20.25" x14ac:dyDescent="0.2">
      <c r="B176" s="20"/>
      <c r="C176" s="21"/>
      <c r="D176" s="210"/>
      <c r="E176" s="210"/>
      <c r="F176" s="210"/>
      <c r="G176" s="210"/>
      <c r="H176" s="210"/>
      <c r="I176" s="210"/>
      <c r="J176" s="210"/>
      <c r="K176" s="211" t="str">
        <f>("DATA ATUAL:"&amp;"    "&amp;UPPER(LEFT(TEXT(L176,"DDDD"),7)))</f>
        <v>DATA ATUAL:    QUINTA-</v>
      </c>
      <c r="L176" s="253">
        <v>44672</v>
      </c>
    </row>
    <row r="177" spans="2:12" ht="20.25" x14ac:dyDescent="0.2">
      <c r="B177" s="20"/>
      <c r="C177" s="21"/>
      <c r="D177" s="212"/>
      <c r="E177" s="212"/>
      <c r="F177" s="212"/>
      <c r="G177" s="212"/>
      <c r="H177" s="212"/>
      <c r="I177" s="212"/>
      <c r="J177" s="212"/>
      <c r="K177" s="211" t="s">
        <v>337</v>
      </c>
      <c r="L177" s="254">
        <v>3</v>
      </c>
    </row>
    <row r="178" spans="2:12" ht="20.25" x14ac:dyDescent="0.2">
      <c r="B178" s="20"/>
      <c r="C178" s="21"/>
      <c r="D178" s="865" t="s">
        <v>338</v>
      </c>
      <c r="E178" s="865"/>
      <c r="F178" s="865"/>
      <c r="G178" s="865"/>
      <c r="H178" s="865"/>
      <c r="I178" s="865"/>
      <c r="J178" s="212"/>
      <c r="K178" s="211" t="s">
        <v>339</v>
      </c>
      <c r="L178" s="255">
        <f>IFERROR(IF(AND(L183&gt;0,L182&gt;0),L183-L182,0),"")</f>
        <v>31</v>
      </c>
    </row>
    <row r="179" spans="2:12" x14ac:dyDescent="0.2">
      <c r="B179" s="20"/>
      <c r="C179" s="21"/>
      <c r="D179" s="866" t="s">
        <v>340</v>
      </c>
      <c r="E179" s="866"/>
      <c r="F179" s="866"/>
      <c r="G179" s="866"/>
      <c r="H179" s="866"/>
      <c r="I179" s="866"/>
      <c r="J179" s="213"/>
      <c r="K179" s="211" t="s">
        <v>341</v>
      </c>
      <c r="L179" s="255">
        <f>IF(OR(AND(K227&lt;&gt;"",K228&lt;&gt;"",K229&lt;&gt;""),AND(D223&lt;&gt;"",F223&lt;&gt;"")),IF(L182&gt;0,(L176-L182)-1,0),IF(L182&gt;0,L176-L182+1,0))</f>
        <v>3</v>
      </c>
    </row>
    <row r="180" spans="2:12" x14ac:dyDescent="0.2">
      <c r="B180" s="20"/>
      <c r="C180" s="21"/>
      <c r="D180" s="867" t="s">
        <v>342</v>
      </c>
      <c r="E180" s="867"/>
      <c r="F180" s="867"/>
      <c r="G180" s="867"/>
      <c r="H180" s="867"/>
      <c r="I180" s="867"/>
      <c r="J180" s="214"/>
      <c r="K180" s="211" t="s">
        <v>343</v>
      </c>
      <c r="L180" s="255">
        <f>IFERROR(L178-L179,"")</f>
        <v>28</v>
      </c>
    </row>
    <row r="181" spans="2:12" x14ac:dyDescent="0.2">
      <c r="B181" s="758" t="s">
        <v>344</v>
      </c>
      <c r="C181" s="759"/>
      <c r="D181" s="759"/>
      <c r="E181" s="759"/>
      <c r="F181" s="759"/>
      <c r="G181" s="759"/>
      <c r="H181" s="759"/>
      <c r="I181" s="759"/>
      <c r="J181" s="759"/>
      <c r="K181" s="759"/>
      <c r="L181" s="760"/>
    </row>
    <row r="182" spans="2:12" x14ac:dyDescent="0.2">
      <c r="B182" s="868" t="s">
        <v>345</v>
      </c>
      <c r="C182" s="852"/>
      <c r="D182" s="852" t="s">
        <v>404</v>
      </c>
      <c r="E182" s="852"/>
      <c r="F182" s="852"/>
      <c r="G182" s="852"/>
      <c r="H182" s="852"/>
      <c r="I182" s="852"/>
      <c r="J182" s="852"/>
      <c r="K182" s="216" t="s">
        <v>346</v>
      </c>
      <c r="L182" s="217">
        <v>44670</v>
      </c>
    </row>
    <row r="183" spans="2:12" x14ac:dyDescent="0.2">
      <c r="B183" s="322" t="s">
        <v>347</v>
      </c>
      <c r="C183" s="852"/>
      <c r="D183" s="852"/>
      <c r="E183" s="852"/>
      <c r="F183" s="852"/>
      <c r="G183" s="852"/>
      <c r="H183" s="852"/>
      <c r="I183" s="852"/>
      <c r="J183" s="852"/>
      <c r="K183" s="216" t="s">
        <v>348</v>
      </c>
      <c r="L183" s="217">
        <v>44701</v>
      </c>
    </row>
    <row r="184" spans="2:12" x14ac:dyDescent="0.2">
      <c r="B184" s="868" t="s">
        <v>349</v>
      </c>
      <c r="C184" s="852"/>
      <c r="D184" s="852" t="s">
        <v>405</v>
      </c>
      <c r="E184" s="852"/>
      <c r="F184" s="852"/>
      <c r="G184" s="852"/>
      <c r="H184" s="852"/>
      <c r="I184" s="852"/>
      <c r="J184" s="852"/>
      <c r="K184" s="852"/>
      <c r="L184" s="853"/>
    </row>
    <row r="185" spans="2:12" x14ac:dyDescent="0.2">
      <c r="B185" s="868" t="s">
        <v>350</v>
      </c>
      <c r="C185" s="869"/>
      <c r="D185" s="869"/>
      <c r="E185" s="852" t="s">
        <v>402</v>
      </c>
      <c r="F185" s="852"/>
      <c r="G185" s="852"/>
      <c r="H185" s="852"/>
      <c r="I185" s="852"/>
      <c r="J185" s="852"/>
      <c r="K185" s="852"/>
      <c r="L185" s="853"/>
    </row>
    <row r="186" spans="2:12" x14ac:dyDescent="0.2">
      <c r="B186" s="322" t="s">
        <v>351</v>
      </c>
      <c r="C186" s="323"/>
      <c r="D186" s="870"/>
      <c r="E186" s="870"/>
      <c r="F186" s="870"/>
      <c r="G186" s="870"/>
      <c r="H186" s="870"/>
      <c r="I186" s="870"/>
      <c r="J186" s="870"/>
      <c r="K186" s="870"/>
      <c r="L186" s="871"/>
    </row>
    <row r="187" spans="2:12" x14ac:dyDescent="0.2">
      <c r="B187" s="758" t="s">
        <v>352</v>
      </c>
      <c r="C187" s="759"/>
      <c r="D187" s="759"/>
      <c r="E187" s="759"/>
      <c r="F187" s="759"/>
      <c r="G187" s="759"/>
      <c r="H187" s="759"/>
      <c r="I187" s="759"/>
      <c r="J187" s="759"/>
      <c r="K187" s="759"/>
      <c r="L187" s="760"/>
    </row>
    <row r="188" spans="2:12" x14ac:dyDescent="0.2">
      <c r="B188" s="868" t="s">
        <v>353</v>
      </c>
      <c r="C188" s="869"/>
      <c r="D188" s="869"/>
      <c r="E188" s="852"/>
      <c r="F188" s="852"/>
      <c r="G188" s="852"/>
      <c r="H188" s="852"/>
      <c r="I188" s="852"/>
      <c r="J188" s="852"/>
      <c r="K188" s="852"/>
      <c r="L188" s="853"/>
    </row>
    <row r="189" spans="2:12" x14ac:dyDescent="0.2">
      <c r="B189" s="219" t="s">
        <v>321</v>
      </c>
      <c r="C189" s="852"/>
      <c r="D189" s="852"/>
      <c r="E189" s="852"/>
      <c r="F189" s="852"/>
      <c r="G189" s="852"/>
      <c r="H189" s="852"/>
      <c r="I189" s="852"/>
      <c r="J189" s="852"/>
      <c r="K189" s="852"/>
      <c r="L189" s="853"/>
    </row>
    <row r="190" spans="2:12" x14ac:dyDescent="0.2">
      <c r="B190" s="219" t="s">
        <v>351</v>
      </c>
      <c r="C190" s="852"/>
      <c r="D190" s="852"/>
      <c r="E190" s="852"/>
      <c r="F190" s="852"/>
      <c r="G190" s="852"/>
      <c r="H190" s="852"/>
      <c r="I190" s="852"/>
      <c r="J190" s="852"/>
      <c r="K190" s="852"/>
      <c r="L190" s="853"/>
    </row>
    <row r="191" spans="2:12" x14ac:dyDescent="0.2">
      <c r="B191" s="219" t="s">
        <v>354</v>
      </c>
      <c r="C191" s="852"/>
      <c r="D191" s="852"/>
      <c r="E191" s="852"/>
      <c r="F191" s="852"/>
      <c r="G191" s="852"/>
      <c r="H191" s="852"/>
      <c r="I191" s="852"/>
      <c r="J191" s="852"/>
      <c r="K191" s="852"/>
      <c r="L191" s="853"/>
    </row>
    <row r="192" spans="2:12" x14ac:dyDescent="0.2">
      <c r="B192" s="758" t="s">
        <v>355</v>
      </c>
      <c r="C192" s="759"/>
      <c r="D192" s="759"/>
      <c r="E192" s="759"/>
      <c r="F192" s="759"/>
      <c r="G192" s="759"/>
      <c r="H192" s="759"/>
      <c r="I192" s="759"/>
      <c r="J192" s="759"/>
      <c r="K192" s="759"/>
      <c r="L192" s="760"/>
    </row>
    <row r="193" spans="2:12" x14ac:dyDescent="0.2">
      <c r="B193" s="803" t="s">
        <v>356</v>
      </c>
      <c r="C193" s="782"/>
      <c r="D193" s="782"/>
      <c r="E193" s="782"/>
      <c r="F193" s="782"/>
      <c r="G193" s="782"/>
      <c r="H193" s="782"/>
      <c r="I193" s="782"/>
      <c r="J193" s="782"/>
      <c r="K193" s="782"/>
      <c r="L193" s="804"/>
    </row>
    <row r="194" spans="2:12" x14ac:dyDescent="0.2">
      <c r="B194" s="854" t="s">
        <v>357</v>
      </c>
      <c r="C194" s="824"/>
      <c r="D194" s="825"/>
      <c r="E194" s="840" t="s">
        <v>358</v>
      </c>
      <c r="F194" s="841"/>
      <c r="G194" s="841"/>
      <c r="H194" s="841"/>
      <c r="I194" s="841"/>
      <c r="J194" s="841"/>
      <c r="K194" s="842"/>
      <c r="L194" s="855" t="s">
        <v>359</v>
      </c>
    </row>
    <row r="195" spans="2:12" x14ac:dyDescent="0.2">
      <c r="B195" s="854"/>
      <c r="C195" s="824"/>
      <c r="D195" s="825"/>
      <c r="E195" s="843"/>
      <c r="F195" s="844"/>
      <c r="G195" s="844"/>
      <c r="H195" s="844"/>
      <c r="I195" s="844"/>
      <c r="J195" s="844"/>
      <c r="K195" s="845"/>
      <c r="L195" s="856"/>
    </row>
    <row r="196" spans="2:12" x14ac:dyDescent="0.2">
      <c r="B196" s="857" t="s">
        <v>400</v>
      </c>
      <c r="C196" s="746"/>
      <c r="D196" s="858"/>
      <c r="E196" s="748" t="s">
        <v>412</v>
      </c>
      <c r="F196" s="859"/>
      <c r="G196" s="859"/>
      <c r="H196" s="859"/>
      <c r="I196" s="859"/>
      <c r="J196" s="859"/>
      <c r="K196" s="858"/>
      <c r="L196" s="220">
        <v>2</v>
      </c>
    </row>
    <row r="197" spans="2:12" x14ac:dyDescent="0.2">
      <c r="B197" s="764" t="s">
        <v>416</v>
      </c>
      <c r="C197" s="746"/>
      <c r="D197" s="858"/>
      <c r="E197" s="860" t="s">
        <v>417</v>
      </c>
      <c r="F197" s="859"/>
      <c r="G197" s="859"/>
      <c r="H197" s="859"/>
      <c r="I197" s="859"/>
      <c r="J197" s="859"/>
      <c r="K197" s="858"/>
      <c r="L197" s="220">
        <v>1</v>
      </c>
    </row>
    <row r="198" spans="2:12" x14ac:dyDescent="0.2">
      <c r="B198" s="764" t="s">
        <v>411</v>
      </c>
      <c r="C198" s="859"/>
      <c r="D198" s="858"/>
      <c r="E198" s="860" t="s">
        <v>413</v>
      </c>
      <c r="F198" s="859"/>
      <c r="G198" s="859"/>
      <c r="H198" s="859"/>
      <c r="I198" s="859"/>
      <c r="J198" s="859"/>
      <c r="K198" s="858"/>
      <c r="L198" s="221">
        <v>1</v>
      </c>
    </row>
    <row r="199" spans="2:12" x14ac:dyDescent="0.2">
      <c r="B199" s="764"/>
      <c r="C199" s="859"/>
      <c r="D199" s="858"/>
      <c r="E199" s="860"/>
      <c r="F199" s="859"/>
      <c r="G199" s="859"/>
      <c r="H199" s="859"/>
      <c r="I199" s="859"/>
      <c r="J199" s="859"/>
      <c r="K199" s="858"/>
      <c r="L199" s="221"/>
    </row>
    <row r="200" spans="2:12" x14ac:dyDescent="0.2">
      <c r="B200" s="777" t="s">
        <v>360</v>
      </c>
      <c r="C200" s="861"/>
      <c r="D200" s="861"/>
      <c r="E200" s="861"/>
      <c r="F200" s="861"/>
      <c r="G200" s="861"/>
      <c r="H200" s="861"/>
      <c r="I200" s="861"/>
      <c r="J200" s="861"/>
      <c r="K200" s="779"/>
      <c r="L200" s="224">
        <f>SUM(L196:L199)</f>
        <v>4</v>
      </c>
    </row>
    <row r="201" spans="2:12" x14ac:dyDescent="0.2">
      <c r="B201" s="803" t="s">
        <v>361</v>
      </c>
      <c r="C201" s="782"/>
      <c r="D201" s="782"/>
      <c r="E201" s="782"/>
      <c r="F201" s="782"/>
      <c r="G201" s="782"/>
      <c r="H201" s="782"/>
      <c r="I201" s="782"/>
      <c r="J201" s="782"/>
      <c r="K201" s="782"/>
      <c r="L201" s="804"/>
    </row>
    <row r="202" spans="2:12" x14ac:dyDescent="0.2">
      <c r="B202" s="834" t="s">
        <v>362</v>
      </c>
      <c r="C202" s="840" t="s">
        <v>357</v>
      </c>
      <c r="D202" s="842"/>
      <c r="E202" s="840" t="s">
        <v>358</v>
      </c>
      <c r="F202" s="841"/>
      <c r="G202" s="841"/>
      <c r="H202" s="841"/>
      <c r="I202" s="841"/>
      <c r="J202" s="841"/>
      <c r="K202" s="842"/>
      <c r="L202" s="816" t="s">
        <v>359</v>
      </c>
    </row>
    <row r="203" spans="2:12" x14ac:dyDescent="0.2">
      <c r="B203" s="835"/>
      <c r="C203" s="843"/>
      <c r="D203" s="845"/>
      <c r="E203" s="843"/>
      <c r="F203" s="844"/>
      <c r="G203" s="844"/>
      <c r="H203" s="844"/>
      <c r="I203" s="844"/>
      <c r="J203" s="844"/>
      <c r="K203" s="845"/>
      <c r="L203" s="817"/>
    </row>
    <row r="204" spans="2:12" ht="15" customHeight="1" x14ac:dyDescent="0.2">
      <c r="B204" s="358"/>
      <c r="C204" s="877"/>
      <c r="D204" s="819"/>
      <c r="E204" s="748"/>
      <c r="F204" s="859"/>
      <c r="G204" s="859"/>
      <c r="H204" s="859"/>
      <c r="I204" s="859"/>
      <c r="J204" s="859"/>
      <c r="K204" s="858"/>
      <c r="L204" s="321">
        <v>1</v>
      </c>
    </row>
    <row r="205" spans="2:12" x14ac:dyDescent="0.2">
      <c r="B205" s="320"/>
      <c r="C205" s="873"/>
      <c r="D205" s="819"/>
      <c r="E205" s="860"/>
      <c r="F205" s="859"/>
      <c r="G205" s="859"/>
      <c r="H205" s="859"/>
      <c r="I205" s="859"/>
      <c r="J205" s="859"/>
      <c r="K205" s="858"/>
      <c r="L205" s="321"/>
    </row>
    <row r="206" spans="2:12" x14ac:dyDescent="0.2">
      <c r="B206" s="320"/>
      <c r="C206" s="818"/>
      <c r="D206" s="819"/>
      <c r="E206" s="874"/>
      <c r="F206" s="875"/>
      <c r="G206" s="875"/>
      <c r="H206" s="875"/>
      <c r="I206" s="875"/>
      <c r="J206" s="875"/>
      <c r="K206" s="876"/>
      <c r="L206" s="321"/>
    </row>
    <row r="207" spans="2:12" x14ac:dyDescent="0.2">
      <c r="B207" s="320"/>
      <c r="C207" s="818"/>
      <c r="D207" s="819"/>
      <c r="E207" s="874"/>
      <c r="F207" s="875"/>
      <c r="G207" s="875"/>
      <c r="H207" s="875"/>
      <c r="I207" s="875"/>
      <c r="J207" s="875"/>
      <c r="K207" s="876"/>
      <c r="L207" s="321"/>
    </row>
    <row r="208" spans="2:12" x14ac:dyDescent="0.2">
      <c r="B208" s="320"/>
      <c r="C208" s="818"/>
      <c r="D208" s="819"/>
      <c r="E208" s="874"/>
      <c r="F208" s="875"/>
      <c r="G208" s="875"/>
      <c r="H208" s="875"/>
      <c r="I208" s="875"/>
      <c r="J208" s="875"/>
      <c r="K208" s="876"/>
      <c r="L208" s="321"/>
    </row>
    <row r="209" spans="2:12" x14ac:dyDescent="0.2">
      <c r="B209" s="826" t="s">
        <v>360</v>
      </c>
      <c r="C209" s="827"/>
      <c r="D209" s="827"/>
      <c r="E209" s="827"/>
      <c r="F209" s="827"/>
      <c r="G209" s="827"/>
      <c r="H209" s="827"/>
      <c r="I209" s="827"/>
      <c r="J209" s="827"/>
      <c r="K209" s="828"/>
      <c r="L209" s="227">
        <f>SUM(L204:L208)</f>
        <v>1</v>
      </c>
    </row>
    <row r="210" spans="2:12" x14ac:dyDescent="0.2">
      <c r="B210" s="829" t="s">
        <v>406</v>
      </c>
      <c r="C210" s="830"/>
      <c r="D210" s="830"/>
      <c r="E210" s="830"/>
      <c r="F210" s="830"/>
      <c r="G210" s="830"/>
      <c r="H210" s="830"/>
      <c r="I210" s="830"/>
      <c r="J210" s="830"/>
      <c r="K210" s="831"/>
      <c r="L210" s="228">
        <f>L209+L200</f>
        <v>5</v>
      </c>
    </row>
    <row r="211" spans="2:12" x14ac:dyDescent="0.2">
      <c r="B211" s="758" t="s">
        <v>215</v>
      </c>
      <c r="C211" s="759"/>
      <c r="D211" s="759"/>
      <c r="E211" s="759"/>
      <c r="F211" s="759"/>
      <c r="G211" s="759"/>
      <c r="H211" s="759"/>
      <c r="I211" s="759"/>
      <c r="J211" s="759"/>
      <c r="K211" s="759"/>
      <c r="L211" s="760"/>
    </row>
    <row r="212" spans="2:12" x14ac:dyDescent="0.2">
      <c r="B212" s="803" t="s">
        <v>363</v>
      </c>
      <c r="C212" s="782"/>
      <c r="D212" s="782"/>
      <c r="E212" s="782"/>
      <c r="F212" s="782"/>
      <c r="G212" s="782"/>
      <c r="H212" s="782"/>
      <c r="I212" s="782"/>
      <c r="J212" s="803" t="s">
        <v>364</v>
      </c>
      <c r="K212" s="782"/>
      <c r="L212" s="804"/>
    </row>
    <row r="213" spans="2:12" x14ac:dyDescent="0.2">
      <c r="B213" s="834" t="s">
        <v>362</v>
      </c>
      <c r="C213" s="836" t="s">
        <v>29</v>
      </c>
      <c r="D213" s="837"/>
      <c r="E213" s="840" t="s">
        <v>1</v>
      </c>
      <c r="F213" s="841"/>
      <c r="G213" s="841"/>
      <c r="H213" s="842"/>
      <c r="I213" s="846" t="s">
        <v>359</v>
      </c>
      <c r="J213" s="848" t="s">
        <v>29</v>
      </c>
      <c r="K213" s="850" t="s">
        <v>1</v>
      </c>
      <c r="L213" s="846" t="s">
        <v>365</v>
      </c>
    </row>
    <row r="214" spans="2:12" x14ac:dyDescent="0.2">
      <c r="B214" s="835"/>
      <c r="C214" s="838"/>
      <c r="D214" s="839"/>
      <c r="E214" s="843"/>
      <c r="F214" s="844"/>
      <c r="G214" s="844"/>
      <c r="H214" s="845"/>
      <c r="I214" s="847"/>
      <c r="J214" s="849"/>
      <c r="K214" s="851"/>
      <c r="L214" s="847"/>
    </row>
    <row r="215" spans="2:12" x14ac:dyDescent="0.2">
      <c r="B215" s="367" t="s">
        <v>449</v>
      </c>
      <c r="C215" s="878" t="s">
        <v>447</v>
      </c>
      <c r="D215" s="822"/>
      <c r="E215" s="878" t="s">
        <v>448</v>
      </c>
      <c r="F215" s="833"/>
      <c r="G215" s="833"/>
      <c r="H215" s="822"/>
      <c r="I215" s="231">
        <v>1</v>
      </c>
      <c r="J215" s="315"/>
      <c r="K215" s="313"/>
      <c r="L215" s="221"/>
    </row>
    <row r="216" spans="2:12" x14ac:dyDescent="0.2">
      <c r="B216" s="229"/>
      <c r="C216" s="832"/>
      <c r="D216" s="822"/>
      <c r="E216" s="832"/>
      <c r="F216" s="833"/>
      <c r="G216" s="833"/>
      <c r="H216" s="822"/>
      <c r="I216" s="234"/>
      <c r="J216" s="235"/>
      <c r="K216" s="236"/>
      <c r="L216" s="237"/>
    </row>
    <row r="217" spans="2:12" x14ac:dyDescent="0.2">
      <c r="B217" s="229"/>
      <c r="C217" s="832"/>
      <c r="D217" s="822"/>
      <c r="E217" s="832"/>
      <c r="F217" s="833"/>
      <c r="G217" s="833"/>
      <c r="H217" s="822"/>
      <c r="I217" s="239"/>
      <c r="J217" s="230"/>
      <c r="K217" s="238"/>
      <c r="L217" s="220"/>
    </row>
    <row r="218" spans="2:12" x14ac:dyDescent="0.2">
      <c r="B218" s="777" t="s">
        <v>366</v>
      </c>
      <c r="C218" s="778"/>
      <c r="D218" s="778"/>
      <c r="E218" s="778"/>
      <c r="F218" s="778"/>
      <c r="G218" s="778"/>
      <c r="H218" s="779"/>
      <c r="I218" s="252">
        <f>SUM(I215:I217)</f>
        <v>1</v>
      </c>
      <c r="J218" s="780" t="s">
        <v>366</v>
      </c>
      <c r="K218" s="781"/>
      <c r="L218" s="240">
        <f>SUM(L215:L217)</f>
        <v>0</v>
      </c>
    </row>
    <row r="219" spans="2:12" x14ac:dyDescent="0.2">
      <c r="B219" s="777" t="s">
        <v>27</v>
      </c>
      <c r="C219" s="778"/>
      <c r="D219" s="778"/>
      <c r="E219" s="778"/>
      <c r="F219" s="778"/>
      <c r="G219" s="778"/>
      <c r="H219" s="778"/>
      <c r="I219" s="778"/>
      <c r="J219" s="778"/>
      <c r="K219" s="779"/>
      <c r="L219" s="240">
        <f>L218+I218</f>
        <v>1</v>
      </c>
    </row>
    <row r="220" spans="2:12" x14ac:dyDescent="0.2">
      <c r="B220" s="758" t="s">
        <v>388</v>
      </c>
      <c r="C220" s="759"/>
      <c r="D220" s="759"/>
      <c r="E220" s="759"/>
      <c r="F220" s="759"/>
      <c r="G220" s="759"/>
      <c r="H220" s="759"/>
      <c r="I220" s="759"/>
      <c r="J220" s="759"/>
      <c r="K220" s="759"/>
      <c r="L220" s="760"/>
    </row>
    <row r="221" spans="2:12" x14ac:dyDescent="0.2">
      <c r="B221" s="803" t="s">
        <v>368</v>
      </c>
      <c r="C221" s="782"/>
      <c r="D221" s="804"/>
      <c r="E221" s="782" t="s">
        <v>394</v>
      </c>
      <c r="F221" s="782"/>
      <c r="G221" s="783" t="s">
        <v>389</v>
      </c>
      <c r="H221" s="784"/>
      <c r="I221" s="784"/>
      <c r="J221" s="784"/>
      <c r="K221" s="784"/>
      <c r="L221" s="785"/>
    </row>
    <row r="222" spans="2:12" x14ac:dyDescent="0.2">
      <c r="B222" s="786" t="s">
        <v>393</v>
      </c>
      <c r="C222" s="787"/>
      <c r="D222" s="265" t="s">
        <v>390</v>
      </c>
      <c r="E222" s="311" t="s">
        <v>391</v>
      </c>
      <c r="F222" s="264" t="s">
        <v>392</v>
      </c>
      <c r="G222" s="310"/>
      <c r="H222" s="311"/>
      <c r="I222" s="311"/>
      <c r="J222" s="311"/>
      <c r="K222" s="311"/>
      <c r="L222" s="312"/>
    </row>
    <row r="223" spans="2:12" x14ac:dyDescent="0.2">
      <c r="B223" s="324"/>
      <c r="C223" s="324"/>
      <c r="D223" s="788"/>
      <c r="E223" s="268"/>
      <c r="F223" s="790"/>
      <c r="G223" s="783"/>
      <c r="H223" s="784"/>
      <c r="I223" s="784"/>
      <c r="J223" s="784"/>
      <c r="K223" s="784"/>
      <c r="L223" s="785"/>
    </row>
    <row r="224" spans="2:12" x14ac:dyDescent="0.2">
      <c r="B224" s="324"/>
      <c r="C224" s="324"/>
      <c r="D224" s="789"/>
      <c r="E224" s="268"/>
      <c r="F224" s="791"/>
      <c r="G224" s="783"/>
      <c r="H224" s="784"/>
      <c r="I224" s="784"/>
      <c r="J224" s="784"/>
      <c r="K224" s="784"/>
      <c r="L224" s="785"/>
    </row>
    <row r="225" spans="2:12" x14ac:dyDescent="0.2">
      <c r="B225" s="792" t="s">
        <v>367</v>
      </c>
      <c r="C225" s="793"/>
      <c r="D225" s="793"/>
      <c r="E225" s="793"/>
      <c r="F225" s="793"/>
      <c r="G225" s="793"/>
      <c r="H225" s="793"/>
      <c r="I225" s="793"/>
      <c r="J225" s="793"/>
      <c r="K225" s="793"/>
      <c r="L225" s="794"/>
    </row>
    <row r="226" spans="2:12" ht="25.5" x14ac:dyDescent="0.2">
      <c r="B226" s="263" t="s">
        <v>368</v>
      </c>
      <c r="C226" s="795" t="s">
        <v>369</v>
      </c>
      <c r="D226" s="796"/>
      <c r="E226" s="797"/>
      <c r="F226" s="795" t="s">
        <v>370</v>
      </c>
      <c r="G226" s="796"/>
      <c r="H226" s="797"/>
      <c r="I226" s="795" t="s">
        <v>371</v>
      </c>
      <c r="J226" s="797"/>
      <c r="K226" s="241" t="s">
        <v>372</v>
      </c>
      <c r="L226" s="242" t="s">
        <v>373</v>
      </c>
    </row>
    <row r="227" spans="2:12" x14ac:dyDescent="0.2">
      <c r="B227" s="243" t="s">
        <v>374</v>
      </c>
      <c r="C227" s="798" t="s">
        <v>407</v>
      </c>
      <c r="D227" s="799"/>
      <c r="E227" s="800"/>
      <c r="F227" s="801"/>
      <c r="G227" s="802"/>
      <c r="H227" s="314"/>
      <c r="I227" s="801"/>
      <c r="J227" s="802"/>
      <c r="K227" s="266"/>
      <c r="L227" s="245"/>
    </row>
    <row r="228" spans="2:12" x14ac:dyDescent="0.2">
      <c r="B228" s="243" t="s">
        <v>375</v>
      </c>
      <c r="C228" s="798" t="s">
        <v>407</v>
      </c>
      <c r="D228" s="799"/>
      <c r="E228" s="800"/>
      <c r="F228" s="801"/>
      <c r="G228" s="802"/>
      <c r="H228" s="314"/>
      <c r="I228" s="801"/>
      <c r="J228" s="802"/>
      <c r="K228" s="266"/>
      <c r="L228" s="245"/>
    </row>
    <row r="229" spans="2:12" x14ac:dyDescent="0.2">
      <c r="B229" s="243" t="s">
        <v>376</v>
      </c>
      <c r="C229" s="798" t="s">
        <v>407</v>
      </c>
      <c r="D229" s="799"/>
      <c r="E229" s="800"/>
      <c r="F229" s="801"/>
      <c r="G229" s="802"/>
      <c r="H229" s="314"/>
      <c r="I229" s="801"/>
      <c r="J229" s="802"/>
      <c r="K229" s="266"/>
      <c r="L229" s="245"/>
    </row>
    <row r="230" spans="2:12" x14ac:dyDescent="0.2">
      <c r="B230" s="805" t="s">
        <v>377</v>
      </c>
      <c r="C230" s="806"/>
      <c r="D230" s="806"/>
      <c r="E230" s="806"/>
      <c r="F230" s="806"/>
      <c r="G230" s="806"/>
      <c r="H230" s="806"/>
      <c r="I230" s="806"/>
      <c r="J230" s="807"/>
      <c r="K230" s="814" t="s">
        <v>378</v>
      </c>
      <c r="L230" s="815"/>
    </row>
    <row r="231" spans="2:12" x14ac:dyDescent="0.2">
      <c r="B231" s="808"/>
      <c r="C231" s="809"/>
      <c r="D231" s="809"/>
      <c r="E231" s="809"/>
      <c r="F231" s="809"/>
      <c r="G231" s="809"/>
      <c r="H231" s="809"/>
      <c r="I231" s="809"/>
      <c r="J231" s="810"/>
      <c r="K231" s="246" t="s">
        <v>379</v>
      </c>
      <c r="L231" s="245"/>
    </row>
    <row r="232" spans="2:12" x14ac:dyDescent="0.2">
      <c r="B232" s="808"/>
      <c r="C232" s="809"/>
      <c r="D232" s="809"/>
      <c r="E232" s="809"/>
      <c r="F232" s="809"/>
      <c r="G232" s="809"/>
      <c r="H232" s="809"/>
      <c r="I232" s="809"/>
      <c r="J232" s="810"/>
      <c r="K232" s="246" t="s">
        <v>380</v>
      </c>
      <c r="L232" s="245"/>
    </row>
    <row r="233" spans="2:12" ht="13.5" thickBot="1" x14ac:dyDescent="0.25">
      <c r="B233" s="811"/>
      <c r="C233" s="812"/>
      <c r="D233" s="812"/>
      <c r="E233" s="812"/>
      <c r="F233" s="812"/>
      <c r="G233" s="812"/>
      <c r="H233" s="812"/>
      <c r="I233" s="812"/>
      <c r="J233" s="813"/>
      <c r="K233" s="247" t="s">
        <v>381</v>
      </c>
      <c r="L233" s="248"/>
    </row>
    <row r="234" spans="2:12" x14ac:dyDescent="0.2">
      <c r="B234" s="362"/>
      <c r="C234" s="360"/>
      <c r="D234" s="360"/>
      <c r="E234" s="360"/>
      <c r="F234" s="360"/>
      <c r="G234" s="360"/>
      <c r="H234" s="360"/>
      <c r="I234" s="360"/>
      <c r="J234" s="360"/>
      <c r="K234" s="361"/>
      <c r="L234" s="363"/>
    </row>
    <row r="235" spans="2:12" x14ac:dyDescent="0.2">
      <c r="B235" s="364"/>
      <c r="C235" s="365"/>
      <c r="D235" s="365"/>
      <c r="E235" s="365"/>
      <c r="F235" s="365"/>
      <c r="G235" s="365"/>
      <c r="H235" s="365"/>
      <c r="I235" s="365"/>
      <c r="J235" s="365"/>
      <c r="K235" s="365"/>
      <c r="L235" s="366"/>
    </row>
    <row r="236" spans="2:12" x14ac:dyDescent="0.2">
      <c r="B236" s="758" t="s">
        <v>382</v>
      </c>
      <c r="C236" s="759"/>
      <c r="D236" s="759"/>
      <c r="E236" s="759"/>
      <c r="F236" s="759"/>
      <c r="G236" s="759"/>
      <c r="H236" s="759"/>
      <c r="I236" s="759"/>
      <c r="J236" s="759"/>
      <c r="K236" s="759"/>
      <c r="L236" s="760"/>
    </row>
    <row r="237" spans="2:12" x14ac:dyDescent="0.2">
      <c r="B237" s="300">
        <v>1</v>
      </c>
      <c r="C237" s="745" t="s">
        <v>457</v>
      </c>
      <c r="D237" s="746"/>
      <c r="E237" s="746"/>
      <c r="F237" s="746"/>
      <c r="G237" s="746"/>
      <c r="H237" s="746"/>
      <c r="I237" s="746"/>
      <c r="J237" s="746"/>
      <c r="K237" s="746"/>
      <c r="L237" s="747"/>
    </row>
    <row r="238" spans="2:12" x14ac:dyDescent="0.2">
      <c r="B238" s="339">
        <v>2</v>
      </c>
      <c r="C238" s="745" t="s">
        <v>459</v>
      </c>
      <c r="D238" s="746"/>
      <c r="E238" s="746"/>
      <c r="F238" s="746"/>
      <c r="G238" s="746"/>
      <c r="H238" s="746"/>
      <c r="I238" s="746"/>
      <c r="J238" s="746"/>
      <c r="K238" s="746"/>
      <c r="L238" s="747"/>
    </row>
    <row r="239" spans="2:12" x14ac:dyDescent="0.2">
      <c r="B239" s="356">
        <v>3</v>
      </c>
      <c r="C239" s="765" t="s">
        <v>458</v>
      </c>
      <c r="D239" s="766"/>
      <c r="E239" s="766"/>
      <c r="F239" s="766"/>
      <c r="G239" s="766"/>
      <c r="H239" s="766"/>
      <c r="I239" s="766"/>
      <c r="J239" s="766"/>
      <c r="K239" s="766"/>
      <c r="L239" s="767"/>
    </row>
    <row r="240" spans="2:12" x14ac:dyDescent="0.2">
      <c r="B240" s="356">
        <v>4</v>
      </c>
      <c r="C240" s="765" t="s">
        <v>471</v>
      </c>
      <c r="D240" s="766"/>
      <c r="E240" s="766"/>
      <c r="F240" s="766"/>
      <c r="G240" s="766"/>
      <c r="H240" s="766"/>
      <c r="I240" s="766"/>
      <c r="J240" s="766"/>
      <c r="K240" s="766"/>
      <c r="L240" s="767"/>
    </row>
    <row r="241" spans="2:12" x14ac:dyDescent="0.2">
      <c r="B241" s="339">
        <v>5</v>
      </c>
      <c r="C241" s="748" t="s">
        <v>461</v>
      </c>
      <c r="D241" s="749"/>
      <c r="E241" s="749"/>
      <c r="F241" s="749"/>
      <c r="G241" s="749"/>
      <c r="H241" s="749"/>
      <c r="I241" s="749"/>
      <c r="J241" s="749"/>
      <c r="K241" s="749"/>
      <c r="L241" s="750"/>
    </row>
    <row r="242" spans="2:12" x14ac:dyDescent="0.2">
      <c r="B242" s="300"/>
      <c r="C242" s="748"/>
      <c r="D242" s="749"/>
      <c r="E242" s="749"/>
      <c r="F242" s="749"/>
      <c r="G242" s="749"/>
      <c r="H242" s="749"/>
      <c r="I242" s="749"/>
      <c r="J242" s="749"/>
      <c r="K242" s="749"/>
      <c r="L242" s="750"/>
    </row>
    <row r="243" spans="2:12" x14ac:dyDescent="0.2">
      <c r="B243" s="758" t="s">
        <v>386</v>
      </c>
      <c r="C243" s="759"/>
      <c r="D243" s="759"/>
      <c r="E243" s="759"/>
      <c r="F243" s="759"/>
      <c r="G243" s="759"/>
      <c r="H243" s="759"/>
      <c r="I243" s="759"/>
      <c r="J243" s="759"/>
      <c r="K243" s="759"/>
      <c r="L243" s="760"/>
    </row>
    <row r="244" spans="2:12" x14ac:dyDescent="0.2">
      <c r="B244" s="269">
        <v>1</v>
      </c>
      <c r="C244" s="757" t="s">
        <v>419</v>
      </c>
      <c r="D244" s="746"/>
      <c r="E244" s="746"/>
      <c r="F244" s="746"/>
      <c r="G244" s="746"/>
      <c r="H244" s="746"/>
      <c r="I244" s="746"/>
      <c r="J244" s="746"/>
      <c r="K244" s="746"/>
      <c r="L244" s="747"/>
    </row>
    <row r="245" spans="2:12" x14ac:dyDescent="0.2">
      <c r="B245" s="269"/>
      <c r="C245" s="757"/>
      <c r="D245" s="746"/>
      <c r="E245" s="746"/>
      <c r="F245" s="746"/>
      <c r="G245" s="746"/>
      <c r="H245" s="746"/>
      <c r="I245" s="746"/>
      <c r="J245" s="746"/>
      <c r="K245" s="746"/>
      <c r="L245" s="747"/>
    </row>
    <row r="246" spans="2:12" x14ac:dyDescent="0.2">
      <c r="B246" s="269"/>
      <c r="C246" s="757"/>
      <c r="D246" s="746"/>
      <c r="E246" s="746"/>
      <c r="F246" s="746"/>
      <c r="G246" s="746"/>
      <c r="H246" s="746"/>
      <c r="I246" s="746"/>
      <c r="J246" s="746"/>
      <c r="K246" s="746"/>
      <c r="L246" s="747"/>
    </row>
    <row r="247" spans="2:12" x14ac:dyDescent="0.2">
      <c r="B247" s="758" t="s">
        <v>387</v>
      </c>
      <c r="C247" s="759"/>
      <c r="D247" s="759"/>
      <c r="E247" s="759"/>
      <c r="F247" s="759"/>
      <c r="G247" s="759"/>
      <c r="H247" s="759"/>
      <c r="I247" s="759"/>
      <c r="J247" s="759"/>
      <c r="K247" s="759"/>
      <c r="L247" s="760"/>
    </row>
    <row r="248" spans="2:12" x14ac:dyDescent="0.2">
      <c r="B248" s="269">
        <v>1</v>
      </c>
      <c r="C248" s="745" t="s">
        <v>450</v>
      </c>
      <c r="D248" s="746"/>
      <c r="E248" s="746"/>
      <c r="F248" s="746"/>
      <c r="G248" s="746"/>
      <c r="H248" s="746"/>
      <c r="I248" s="746"/>
      <c r="J248" s="746"/>
      <c r="K248" s="746"/>
      <c r="L248" s="747"/>
    </row>
    <row r="249" spans="2:12" x14ac:dyDescent="0.2">
      <c r="B249" s="269"/>
      <c r="C249" s="757"/>
      <c r="D249" s="746"/>
      <c r="E249" s="746"/>
      <c r="F249" s="746"/>
      <c r="G249" s="746"/>
      <c r="H249" s="746"/>
      <c r="I249" s="746"/>
      <c r="J249" s="746"/>
      <c r="K249" s="746"/>
      <c r="L249" s="747"/>
    </row>
    <row r="250" spans="2:12" x14ac:dyDescent="0.2">
      <c r="B250" s="269"/>
      <c r="C250" s="757"/>
      <c r="D250" s="746"/>
      <c r="E250" s="746"/>
      <c r="F250" s="746"/>
      <c r="G250" s="746"/>
      <c r="H250" s="746"/>
      <c r="I250" s="746"/>
      <c r="J250" s="746"/>
      <c r="K250" s="746"/>
      <c r="L250" s="747"/>
    </row>
    <row r="251" spans="2:12" x14ac:dyDescent="0.2">
      <c r="B251" s="761" t="s">
        <v>383</v>
      </c>
      <c r="C251" s="762"/>
      <c r="D251" s="762"/>
      <c r="E251" s="762"/>
      <c r="F251" s="762"/>
      <c r="G251" s="762"/>
      <c r="H251" s="762"/>
      <c r="I251" s="762"/>
      <c r="J251" s="762"/>
      <c r="K251" s="762"/>
      <c r="L251" s="763"/>
    </row>
    <row r="252" spans="2:12" x14ac:dyDescent="0.2">
      <c r="B252" s="764"/>
      <c r="C252" s="746"/>
      <c r="D252" s="746"/>
      <c r="E252" s="746"/>
      <c r="F252" s="746"/>
      <c r="G252" s="746"/>
      <c r="H252" s="746"/>
      <c r="I252" s="746"/>
      <c r="J252" s="746"/>
      <c r="K252" s="746"/>
      <c r="L252" s="747"/>
    </row>
    <row r="253" spans="2:12" x14ac:dyDescent="0.2">
      <c r="B253" s="764"/>
      <c r="C253" s="746"/>
      <c r="D253" s="746"/>
      <c r="E253" s="746"/>
      <c r="F253" s="746"/>
      <c r="G253" s="746"/>
      <c r="H253" s="746"/>
      <c r="I253" s="746"/>
      <c r="J253" s="746"/>
      <c r="K253" s="746"/>
      <c r="L253" s="747"/>
    </row>
    <row r="254" spans="2:12" x14ac:dyDescent="0.2">
      <c r="B254" s="764"/>
      <c r="C254" s="746"/>
      <c r="D254" s="746"/>
      <c r="E254" s="746"/>
      <c r="F254" s="746"/>
      <c r="G254" s="746"/>
      <c r="H254" s="746"/>
      <c r="I254" s="746"/>
      <c r="J254" s="746"/>
      <c r="K254" s="746"/>
      <c r="L254" s="747"/>
    </row>
    <row r="255" spans="2:12" x14ac:dyDescent="0.2">
      <c r="B255" s="764"/>
      <c r="C255" s="746"/>
      <c r="D255" s="746"/>
      <c r="E255" s="746"/>
      <c r="F255" s="746"/>
      <c r="G255" s="746"/>
      <c r="H255" s="746"/>
      <c r="I255" s="746"/>
      <c r="J255" s="746"/>
      <c r="K255" s="746"/>
      <c r="L255" s="747"/>
    </row>
    <row r="256" spans="2:12" x14ac:dyDescent="0.2">
      <c r="B256" s="768"/>
      <c r="C256" s="769"/>
      <c r="D256" s="769"/>
      <c r="E256" s="769"/>
      <c r="F256" s="769"/>
      <c r="G256" s="316"/>
      <c r="H256" s="769"/>
      <c r="I256" s="769"/>
      <c r="J256" s="769"/>
      <c r="K256" s="769"/>
      <c r="L256" s="774"/>
    </row>
    <row r="257" spans="2:12" x14ac:dyDescent="0.2">
      <c r="B257" s="770"/>
      <c r="C257" s="771"/>
      <c r="D257" s="771"/>
      <c r="E257" s="771"/>
      <c r="F257" s="771"/>
      <c r="G257" s="317"/>
      <c r="H257" s="771"/>
      <c r="I257" s="771"/>
      <c r="J257" s="771"/>
      <c r="K257" s="771"/>
      <c r="L257" s="775"/>
    </row>
    <row r="258" spans="2:12" x14ac:dyDescent="0.2">
      <c r="B258" s="770"/>
      <c r="C258" s="771"/>
      <c r="D258" s="771"/>
      <c r="E258" s="771"/>
      <c r="F258" s="771"/>
      <c r="G258" s="317"/>
      <c r="H258" s="771"/>
      <c r="I258" s="771"/>
      <c r="J258" s="771"/>
      <c r="K258" s="771"/>
      <c r="L258" s="775"/>
    </row>
    <row r="259" spans="2:12" x14ac:dyDescent="0.2">
      <c r="B259" s="772"/>
      <c r="C259" s="773"/>
      <c r="D259" s="773"/>
      <c r="E259" s="773"/>
      <c r="F259" s="773"/>
      <c r="G259" s="318"/>
      <c r="H259" s="773"/>
      <c r="I259" s="773"/>
      <c r="J259" s="773"/>
      <c r="K259" s="773"/>
      <c r="L259" s="776"/>
    </row>
    <row r="260" spans="2:12" ht="13.5" thickBot="1" x14ac:dyDescent="0.25">
      <c r="B260" s="751" t="s">
        <v>384</v>
      </c>
      <c r="C260" s="752"/>
      <c r="D260" s="752"/>
      <c r="E260" s="752"/>
      <c r="F260" s="752"/>
      <c r="G260" s="319"/>
      <c r="H260" s="752" t="s">
        <v>385</v>
      </c>
      <c r="I260" s="752"/>
      <c r="J260" s="752"/>
      <c r="K260" s="752"/>
      <c r="L260" s="753"/>
    </row>
    <row r="262" spans="2:12" ht="13.5" thickBot="1" x14ac:dyDescent="0.25"/>
    <row r="263" spans="2:12" ht="23.25" x14ac:dyDescent="0.2">
      <c r="B263" s="862" t="s">
        <v>336</v>
      </c>
      <c r="C263" s="863"/>
      <c r="D263" s="863"/>
      <c r="E263" s="863"/>
      <c r="F263" s="863"/>
      <c r="G263" s="863"/>
      <c r="H263" s="863"/>
      <c r="I263" s="863"/>
      <c r="J263" s="863"/>
      <c r="K263" s="863"/>
      <c r="L263" s="864"/>
    </row>
    <row r="264" spans="2:12" ht="20.25" x14ac:dyDescent="0.2">
      <c r="B264" s="20"/>
      <c r="C264" s="21"/>
      <c r="D264" s="210"/>
      <c r="E264" s="210"/>
      <c r="F264" s="210"/>
      <c r="G264" s="210"/>
      <c r="H264" s="210"/>
      <c r="I264" s="210"/>
      <c r="J264" s="210"/>
      <c r="K264" s="211" t="str">
        <f>("DATA ATUAL:"&amp;"    "&amp;UPPER(LEFT(TEXT(L264,"DDDD"),7)))</f>
        <v>DATA ATUAL:    SEXTA-F</v>
      </c>
      <c r="L264" s="253">
        <v>44673</v>
      </c>
    </row>
    <row r="265" spans="2:12" ht="20.25" x14ac:dyDescent="0.2">
      <c r="B265" s="20"/>
      <c r="C265" s="21"/>
      <c r="D265" s="212"/>
      <c r="E265" s="212"/>
      <c r="F265" s="212"/>
      <c r="G265" s="212"/>
      <c r="H265" s="212"/>
      <c r="I265" s="212"/>
      <c r="J265" s="212"/>
      <c r="K265" s="211" t="s">
        <v>337</v>
      </c>
      <c r="L265" s="254">
        <v>4</v>
      </c>
    </row>
    <row r="266" spans="2:12" ht="20.25" x14ac:dyDescent="0.2">
      <c r="B266" s="20"/>
      <c r="C266" s="21"/>
      <c r="D266" s="865" t="s">
        <v>338</v>
      </c>
      <c r="E266" s="865"/>
      <c r="F266" s="865"/>
      <c r="G266" s="865"/>
      <c r="H266" s="865"/>
      <c r="I266" s="865"/>
      <c r="J266" s="212"/>
      <c r="K266" s="211" t="s">
        <v>339</v>
      </c>
      <c r="L266" s="255">
        <f>IFERROR(IF(AND(L271&gt;0,L270&gt;0),L271-L270,0),"")</f>
        <v>31</v>
      </c>
    </row>
    <row r="267" spans="2:12" x14ac:dyDescent="0.2">
      <c r="B267" s="20"/>
      <c r="C267" s="21"/>
      <c r="D267" s="866" t="s">
        <v>340</v>
      </c>
      <c r="E267" s="866"/>
      <c r="F267" s="866"/>
      <c r="G267" s="866"/>
      <c r="H267" s="866"/>
      <c r="I267" s="866"/>
      <c r="J267" s="213"/>
      <c r="K267" s="211" t="s">
        <v>341</v>
      </c>
      <c r="L267" s="255">
        <f>IF(OR(AND(K315&lt;&gt;"",K316&lt;&gt;"",K317&lt;&gt;""),AND(D311&lt;&gt;"",F311&lt;&gt;"")),IF(L270&gt;0,(L264-L270)-1,0),IF(L270&gt;0,L264-L270+1,0))</f>
        <v>4</v>
      </c>
    </row>
    <row r="268" spans="2:12" x14ac:dyDescent="0.2">
      <c r="B268" s="20"/>
      <c r="C268" s="21"/>
      <c r="D268" s="867" t="s">
        <v>342</v>
      </c>
      <c r="E268" s="867"/>
      <c r="F268" s="867"/>
      <c r="G268" s="867"/>
      <c r="H268" s="867"/>
      <c r="I268" s="867"/>
      <c r="J268" s="214"/>
      <c r="K268" s="211" t="s">
        <v>343</v>
      </c>
      <c r="L268" s="255">
        <f>IFERROR(L266-L267,"")</f>
        <v>27</v>
      </c>
    </row>
    <row r="269" spans="2:12" x14ac:dyDescent="0.2">
      <c r="B269" s="758" t="s">
        <v>344</v>
      </c>
      <c r="C269" s="759"/>
      <c r="D269" s="759"/>
      <c r="E269" s="759"/>
      <c r="F269" s="759"/>
      <c r="G269" s="759"/>
      <c r="H269" s="759"/>
      <c r="I269" s="759"/>
      <c r="J269" s="759"/>
      <c r="K269" s="759"/>
      <c r="L269" s="760"/>
    </row>
    <row r="270" spans="2:12" x14ac:dyDescent="0.2">
      <c r="B270" s="868" t="s">
        <v>345</v>
      </c>
      <c r="C270" s="852"/>
      <c r="D270" s="852" t="s">
        <v>404</v>
      </c>
      <c r="E270" s="852"/>
      <c r="F270" s="852"/>
      <c r="G270" s="852"/>
      <c r="H270" s="852"/>
      <c r="I270" s="852"/>
      <c r="J270" s="852"/>
      <c r="K270" s="216" t="s">
        <v>346</v>
      </c>
      <c r="L270" s="217">
        <v>44670</v>
      </c>
    </row>
    <row r="271" spans="2:12" x14ac:dyDescent="0.2">
      <c r="B271" s="337" t="s">
        <v>347</v>
      </c>
      <c r="C271" s="852"/>
      <c r="D271" s="852"/>
      <c r="E271" s="852"/>
      <c r="F271" s="852"/>
      <c r="G271" s="852"/>
      <c r="H271" s="852"/>
      <c r="I271" s="852"/>
      <c r="J271" s="852"/>
      <c r="K271" s="216" t="s">
        <v>348</v>
      </c>
      <c r="L271" s="217">
        <v>44701</v>
      </c>
    </row>
    <row r="272" spans="2:12" x14ac:dyDescent="0.2">
      <c r="B272" s="868" t="s">
        <v>349</v>
      </c>
      <c r="C272" s="852"/>
      <c r="D272" s="852" t="s">
        <v>405</v>
      </c>
      <c r="E272" s="852"/>
      <c r="F272" s="852"/>
      <c r="G272" s="852"/>
      <c r="H272" s="852"/>
      <c r="I272" s="852"/>
      <c r="J272" s="852"/>
      <c r="K272" s="852"/>
      <c r="L272" s="853"/>
    </row>
    <row r="273" spans="2:12" x14ac:dyDescent="0.2">
      <c r="B273" s="868" t="s">
        <v>350</v>
      </c>
      <c r="C273" s="869"/>
      <c r="D273" s="869"/>
      <c r="E273" s="852" t="s">
        <v>402</v>
      </c>
      <c r="F273" s="852"/>
      <c r="G273" s="852"/>
      <c r="H273" s="852"/>
      <c r="I273" s="852"/>
      <c r="J273" s="852"/>
      <c r="K273" s="852"/>
      <c r="L273" s="853"/>
    </row>
    <row r="274" spans="2:12" x14ac:dyDescent="0.2">
      <c r="B274" s="337" t="s">
        <v>351</v>
      </c>
      <c r="C274" s="338"/>
      <c r="D274" s="870"/>
      <c r="E274" s="870"/>
      <c r="F274" s="870"/>
      <c r="G274" s="870"/>
      <c r="H274" s="870"/>
      <c r="I274" s="870"/>
      <c r="J274" s="870"/>
      <c r="K274" s="870"/>
      <c r="L274" s="871"/>
    </row>
    <row r="275" spans="2:12" x14ac:dyDescent="0.2">
      <c r="B275" s="758" t="s">
        <v>352</v>
      </c>
      <c r="C275" s="759"/>
      <c r="D275" s="759"/>
      <c r="E275" s="759"/>
      <c r="F275" s="759"/>
      <c r="G275" s="759"/>
      <c r="H275" s="759"/>
      <c r="I275" s="759"/>
      <c r="J275" s="759"/>
      <c r="K275" s="759"/>
      <c r="L275" s="760"/>
    </row>
    <row r="276" spans="2:12" x14ac:dyDescent="0.2">
      <c r="B276" s="868" t="s">
        <v>353</v>
      </c>
      <c r="C276" s="869"/>
      <c r="D276" s="869"/>
      <c r="E276" s="852"/>
      <c r="F276" s="852"/>
      <c r="G276" s="852"/>
      <c r="H276" s="852"/>
      <c r="I276" s="852"/>
      <c r="J276" s="852"/>
      <c r="K276" s="852"/>
      <c r="L276" s="853"/>
    </row>
    <row r="277" spans="2:12" x14ac:dyDescent="0.2">
      <c r="B277" s="219" t="s">
        <v>321</v>
      </c>
      <c r="C277" s="852"/>
      <c r="D277" s="852"/>
      <c r="E277" s="852"/>
      <c r="F277" s="852"/>
      <c r="G277" s="852"/>
      <c r="H277" s="852"/>
      <c r="I277" s="852"/>
      <c r="J277" s="852"/>
      <c r="K277" s="852"/>
      <c r="L277" s="853"/>
    </row>
    <row r="278" spans="2:12" x14ac:dyDescent="0.2">
      <c r="B278" s="219" t="s">
        <v>351</v>
      </c>
      <c r="C278" s="852"/>
      <c r="D278" s="852"/>
      <c r="E278" s="852"/>
      <c r="F278" s="852"/>
      <c r="G278" s="852"/>
      <c r="H278" s="852"/>
      <c r="I278" s="852"/>
      <c r="J278" s="852"/>
      <c r="K278" s="852"/>
      <c r="L278" s="853"/>
    </row>
    <row r="279" spans="2:12" x14ac:dyDescent="0.2">
      <c r="B279" s="219" t="s">
        <v>354</v>
      </c>
      <c r="C279" s="852"/>
      <c r="D279" s="852"/>
      <c r="E279" s="852"/>
      <c r="F279" s="852"/>
      <c r="G279" s="852"/>
      <c r="H279" s="852"/>
      <c r="I279" s="852"/>
      <c r="J279" s="852"/>
      <c r="K279" s="852"/>
      <c r="L279" s="853"/>
    </row>
    <row r="280" spans="2:12" x14ac:dyDescent="0.2">
      <c r="B280" s="758" t="s">
        <v>355</v>
      </c>
      <c r="C280" s="759"/>
      <c r="D280" s="759"/>
      <c r="E280" s="759"/>
      <c r="F280" s="759"/>
      <c r="G280" s="759"/>
      <c r="H280" s="759"/>
      <c r="I280" s="759"/>
      <c r="J280" s="759"/>
      <c r="K280" s="759"/>
      <c r="L280" s="760"/>
    </row>
    <row r="281" spans="2:12" x14ac:dyDescent="0.2">
      <c r="B281" s="803" t="s">
        <v>356</v>
      </c>
      <c r="C281" s="782"/>
      <c r="D281" s="782"/>
      <c r="E281" s="782"/>
      <c r="F281" s="782"/>
      <c r="G281" s="782"/>
      <c r="H281" s="782"/>
      <c r="I281" s="782"/>
      <c r="J281" s="782"/>
      <c r="K281" s="782"/>
      <c r="L281" s="804"/>
    </row>
    <row r="282" spans="2:12" x14ac:dyDescent="0.2">
      <c r="B282" s="854" t="s">
        <v>357</v>
      </c>
      <c r="C282" s="824"/>
      <c r="D282" s="825"/>
      <c r="E282" s="840" t="s">
        <v>358</v>
      </c>
      <c r="F282" s="841"/>
      <c r="G282" s="841"/>
      <c r="H282" s="841"/>
      <c r="I282" s="841"/>
      <c r="J282" s="841"/>
      <c r="K282" s="842"/>
      <c r="L282" s="855" t="s">
        <v>359</v>
      </c>
    </row>
    <row r="283" spans="2:12" x14ac:dyDescent="0.2">
      <c r="B283" s="854"/>
      <c r="C283" s="824"/>
      <c r="D283" s="825"/>
      <c r="E283" s="843"/>
      <c r="F283" s="844"/>
      <c r="G283" s="844"/>
      <c r="H283" s="844"/>
      <c r="I283" s="844"/>
      <c r="J283" s="844"/>
      <c r="K283" s="845"/>
      <c r="L283" s="856"/>
    </row>
    <row r="284" spans="2:12" x14ac:dyDescent="0.2">
      <c r="B284" s="857" t="s">
        <v>400</v>
      </c>
      <c r="C284" s="746"/>
      <c r="D284" s="858"/>
      <c r="E284" s="748" t="s">
        <v>412</v>
      </c>
      <c r="F284" s="859"/>
      <c r="G284" s="859"/>
      <c r="H284" s="859"/>
      <c r="I284" s="859"/>
      <c r="J284" s="859"/>
      <c r="K284" s="858"/>
      <c r="L284" s="220">
        <v>2</v>
      </c>
    </row>
    <row r="285" spans="2:12" x14ac:dyDescent="0.2">
      <c r="B285" s="764" t="s">
        <v>416</v>
      </c>
      <c r="C285" s="746"/>
      <c r="D285" s="858"/>
      <c r="E285" s="860" t="s">
        <v>417</v>
      </c>
      <c r="F285" s="859"/>
      <c r="G285" s="859"/>
      <c r="H285" s="859"/>
      <c r="I285" s="859"/>
      <c r="J285" s="859"/>
      <c r="K285" s="858"/>
      <c r="L285" s="220">
        <v>1</v>
      </c>
    </row>
    <row r="286" spans="2:12" x14ac:dyDescent="0.2">
      <c r="B286" s="764" t="s">
        <v>411</v>
      </c>
      <c r="C286" s="859"/>
      <c r="D286" s="858"/>
      <c r="E286" s="860" t="s">
        <v>413</v>
      </c>
      <c r="F286" s="859"/>
      <c r="G286" s="859"/>
      <c r="H286" s="859"/>
      <c r="I286" s="859"/>
      <c r="J286" s="859"/>
      <c r="K286" s="858"/>
      <c r="L286" s="221">
        <v>1</v>
      </c>
    </row>
    <row r="287" spans="2:12" x14ac:dyDescent="0.2">
      <c r="B287" s="764"/>
      <c r="C287" s="859"/>
      <c r="D287" s="858"/>
      <c r="E287" s="860"/>
      <c r="F287" s="859"/>
      <c r="G287" s="859"/>
      <c r="H287" s="859"/>
      <c r="I287" s="859"/>
      <c r="J287" s="859"/>
      <c r="K287" s="858"/>
      <c r="L287" s="221"/>
    </row>
    <row r="288" spans="2:12" x14ac:dyDescent="0.2">
      <c r="B288" s="777" t="s">
        <v>360</v>
      </c>
      <c r="C288" s="861"/>
      <c r="D288" s="861"/>
      <c r="E288" s="861"/>
      <c r="F288" s="861"/>
      <c r="G288" s="861"/>
      <c r="H288" s="861"/>
      <c r="I288" s="861"/>
      <c r="J288" s="861"/>
      <c r="K288" s="779"/>
      <c r="L288" s="224">
        <f>SUM(L284:L287)</f>
        <v>4</v>
      </c>
    </row>
    <row r="289" spans="2:12" x14ac:dyDescent="0.2">
      <c r="B289" s="803" t="s">
        <v>361</v>
      </c>
      <c r="C289" s="782"/>
      <c r="D289" s="782"/>
      <c r="E289" s="782"/>
      <c r="F289" s="782"/>
      <c r="G289" s="782"/>
      <c r="H289" s="782"/>
      <c r="I289" s="782"/>
      <c r="J289" s="782"/>
      <c r="K289" s="782"/>
      <c r="L289" s="804"/>
    </row>
    <row r="290" spans="2:12" x14ac:dyDescent="0.2">
      <c r="B290" s="834" t="s">
        <v>362</v>
      </c>
      <c r="C290" s="840" t="s">
        <v>357</v>
      </c>
      <c r="D290" s="842"/>
      <c r="E290" s="840" t="s">
        <v>358</v>
      </c>
      <c r="F290" s="841"/>
      <c r="G290" s="841"/>
      <c r="H290" s="841"/>
      <c r="I290" s="841"/>
      <c r="J290" s="841"/>
      <c r="K290" s="842"/>
      <c r="L290" s="816" t="s">
        <v>359</v>
      </c>
    </row>
    <row r="291" spans="2:12" x14ac:dyDescent="0.2">
      <c r="B291" s="835"/>
      <c r="C291" s="843"/>
      <c r="D291" s="845"/>
      <c r="E291" s="843"/>
      <c r="F291" s="844"/>
      <c r="G291" s="844"/>
      <c r="H291" s="844"/>
      <c r="I291" s="844"/>
      <c r="J291" s="844"/>
      <c r="K291" s="845"/>
      <c r="L291" s="817"/>
    </row>
    <row r="292" spans="2:12" x14ac:dyDescent="0.2">
      <c r="B292" s="335"/>
      <c r="C292" s="818"/>
      <c r="D292" s="819"/>
      <c r="E292" s="820"/>
      <c r="F292" s="821"/>
      <c r="G292" s="821"/>
      <c r="H292" s="821"/>
      <c r="I292" s="821"/>
      <c r="J292" s="821"/>
      <c r="K292" s="822"/>
      <c r="L292" s="336"/>
    </row>
    <row r="293" spans="2:12" x14ac:dyDescent="0.2">
      <c r="B293" s="335"/>
      <c r="C293" s="818"/>
      <c r="D293" s="819"/>
      <c r="E293" s="820"/>
      <c r="F293" s="821"/>
      <c r="G293" s="821"/>
      <c r="H293" s="821"/>
      <c r="I293" s="821"/>
      <c r="J293" s="821"/>
      <c r="K293" s="822"/>
      <c r="L293" s="336"/>
    </row>
    <row r="294" spans="2:12" x14ac:dyDescent="0.2">
      <c r="B294" s="335"/>
      <c r="C294" s="818"/>
      <c r="D294" s="819"/>
      <c r="E294" s="823"/>
      <c r="F294" s="824"/>
      <c r="G294" s="824"/>
      <c r="H294" s="824"/>
      <c r="I294" s="824"/>
      <c r="J294" s="824"/>
      <c r="K294" s="825"/>
      <c r="L294" s="336"/>
    </row>
    <row r="295" spans="2:12" x14ac:dyDescent="0.2">
      <c r="B295" s="335"/>
      <c r="C295" s="818"/>
      <c r="D295" s="819"/>
      <c r="E295" s="823"/>
      <c r="F295" s="824"/>
      <c r="G295" s="824"/>
      <c r="H295" s="824"/>
      <c r="I295" s="824"/>
      <c r="J295" s="824"/>
      <c r="K295" s="825"/>
      <c r="L295" s="336"/>
    </row>
    <row r="296" spans="2:12" x14ac:dyDescent="0.2">
      <c r="B296" s="335"/>
      <c r="C296" s="818"/>
      <c r="D296" s="819"/>
      <c r="E296" s="823"/>
      <c r="F296" s="824"/>
      <c r="G296" s="824"/>
      <c r="H296" s="824"/>
      <c r="I296" s="824"/>
      <c r="J296" s="824"/>
      <c r="K296" s="825"/>
      <c r="L296" s="336"/>
    </row>
    <row r="297" spans="2:12" x14ac:dyDescent="0.2">
      <c r="B297" s="826" t="s">
        <v>360</v>
      </c>
      <c r="C297" s="827"/>
      <c r="D297" s="827"/>
      <c r="E297" s="827"/>
      <c r="F297" s="827"/>
      <c r="G297" s="827"/>
      <c r="H297" s="827"/>
      <c r="I297" s="827"/>
      <c r="J297" s="827"/>
      <c r="K297" s="828"/>
      <c r="L297" s="227">
        <f>SUM(L292:L296)</f>
        <v>0</v>
      </c>
    </row>
    <row r="298" spans="2:12" x14ac:dyDescent="0.2">
      <c r="B298" s="829" t="s">
        <v>406</v>
      </c>
      <c r="C298" s="830"/>
      <c r="D298" s="830"/>
      <c r="E298" s="830"/>
      <c r="F298" s="830"/>
      <c r="G298" s="830"/>
      <c r="H298" s="830"/>
      <c r="I298" s="830"/>
      <c r="J298" s="830"/>
      <c r="K298" s="831"/>
      <c r="L298" s="228">
        <f>L297+L288</f>
        <v>4</v>
      </c>
    </row>
    <row r="299" spans="2:12" x14ac:dyDescent="0.2">
      <c r="B299" s="758" t="s">
        <v>215</v>
      </c>
      <c r="C299" s="759"/>
      <c r="D299" s="759"/>
      <c r="E299" s="759"/>
      <c r="F299" s="759"/>
      <c r="G299" s="759"/>
      <c r="H299" s="759"/>
      <c r="I299" s="759"/>
      <c r="J299" s="759"/>
      <c r="K299" s="759"/>
      <c r="L299" s="760"/>
    </row>
    <row r="300" spans="2:12" x14ac:dyDescent="0.2">
      <c r="B300" s="803" t="s">
        <v>363</v>
      </c>
      <c r="C300" s="782"/>
      <c r="D300" s="782"/>
      <c r="E300" s="782"/>
      <c r="F300" s="782"/>
      <c r="G300" s="782"/>
      <c r="H300" s="782"/>
      <c r="I300" s="782"/>
      <c r="J300" s="803" t="s">
        <v>364</v>
      </c>
      <c r="K300" s="782"/>
      <c r="L300" s="804"/>
    </row>
    <row r="301" spans="2:12" x14ac:dyDescent="0.2">
      <c r="B301" s="834" t="s">
        <v>362</v>
      </c>
      <c r="C301" s="836" t="s">
        <v>29</v>
      </c>
      <c r="D301" s="837"/>
      <c r="E301" s="840" t="s">
        <v>1</v>
      </c>
      <c r="F301" s="841"/>
      <c r="G301" s="841"/>
      <c r="H301" s="842"/>
      <c r="I301" s="846" t="s">
        <v>359</v>
      </c>
      <c r="J301" s="848" t="s">
        <v>29</v>
      </c>
      <c r="K301" s="850" t="s">
        <v>1</v>
      </c>
      <c r="L301" s="846" t="s">
        <v>365</v>
      </c>
    </row>
    <row r="302" spans="2:12" x14ac:dyDescent="0.2">
      <c r="B302" s="835"/>
      <c r="C302" s="838"/>
      <c r="D302" s="839"/>
      <c r="E302" s="843"/>
      <c r="F302" s="844"/>
      <c r="G302" s="844"/>
      <c r="H302" s="845"/>
      <c r="I302" s="847"/>
      <c r="J302" s="849"/>
      <c r="K302" s="851"/>
      <c r="L302" s="847"/>
    </row>
    <row r="303" spans="2:12" x14ac:dyDescent="0.2">
      <c r="B303" s="229"/>
      <c r="C303" s="832"/>
      <c r="D303" s="822"/>
      <c r="E303" s="832"/>
      <c r="F303" s="833"/>
      <c r="G303" s="833"/>
      <c r="H303" s="822"/>
      <c r="I303" s="231"/>
      <c r="J303" s="334"/>
      <c r="K303" s="326"/>
      <c r="L303" s="221"/>
    </row>
    <row r="304" spans="2:12" x14ac:dyDescent="0.2">
      <c r="B304" s="229"/>
      <c r="C304" s="832"/>
      <c r="D304" s="822"/>
      <c r="E304" s="832"/>
      <c r="F304" s="833"/>
      <c r="G304" s="833"/>
      <c r="H304" s="822"/>
      <c r="I304" s="234"/>
      <c r="J304" s="235"/>
      <c r="K304" s="236"/>
      <c r="L304" s="237"/>
    </row>
    <row r="305" spans="2:12" x14ac:dyDescent="0.2">
      <c r="B305" s="229"/>
      <c r="C305" s="832"/>
      <c r="D305" s="822"/>
      <c r="E305" s="832"/>
      <c r="F305" s="833"/>
      <c r="G305" s="833"/>
      <c r="H305" s="822"/>
      <c r="I305" s="239"/>
      <c r="J305" s="230"/>
      <c r="K305" s="238"/>
      <c r="L305" s="220"/>
    </row>
    <row r="306" spans="2:12" x14ac:dyDescent="0.2">
      <c r="B306" s="777" t="s">
        <v>366</v>
      </c>
      <c r="C306" s="778"/>
      <c r="D306" s="778"/>
      <c r="E306" s="778"/>
      <c r="F306" s="778"/>
      <c r="G306" s="778"/>
      <c r="H306" s="779"/>
      <c r="I306" s="252">
        <f>SUM(I303:I305)</f>
        <v>0</v>
      </c>
      <c r="J306" s="780" t="s">
        <v>366</v>
      </c>
      <c r="K306" s="781"/>
      <c r="L306" s="240">
        <f>SUM(L303:L305)</f>
        <v>0</v>
      </c>
    </row>
    <row r="307" spans="2:12" x14ac:dyDescent="0.2">
      <c r="B307" s="777" t="s">
        <v>27</v>
      </c>
      <c r="C307" s="778"/>
      <c r="D307" s="778"/>
      <c r="E307" s="778"/>
      <c r="F307" s="778"/>
      <c r="G307" s="778"/>
      <c r="H307" s="778"/>
      <c r="I307" s="778"/>
      <c r="J307" s="778"/>
      <c r="K307" s="779"/>
      <c r="L307" s="240">
        <f>L306+I306</f>
        <v>0</v>
      </c>
    </row>
    <row r="308" spans="2:12" x14ac:dyDescent="0.2">
      <c r="B308" s="758" t="s">
        <v>388</v>
      </c>
      <c r="C308" s="759"/>
      <c r="D308" s="759"/>
      <c r="E308" s="759"/>
      <c r="F308" s="759"/>
      <c r="G308" s="759"/>
      <c r="H308" s="759"/>
      <c r="I308" s="759"/>
      <c r="J308" s="759"/>
      <c r="K308" s="759"/>
      <c r="L308" s="760"/>
    </row>
    <row r="309" spans="2:12" x14ac:dyDescent="0.2">
      <c r="B309" s="803" t="s">
        <v>368</v>
      </c>
      <c r="C309" s="782"/>
      <c r="D309" s="804"/>
      <c r="E309" s="782" t="s">
        <v>394</v>
      </c>
      <c r="F309" s="782"/>
      <c r="G309" s="783" t="s">
        <v>389</v>
      </c>
      <c r="H309" s="784"/>
      <c r="I309" s="784"/>
      <c r="J309" s="784"/>
      <c r="K309" s="784"/>
      <c r="L309" s="785"/>
    </row>
    <row r="310" spans="2:12" x14ac:dyDescent="0.2">
      <c r="B310" s="786" t="s">
        <v>393</v>
      </c>
      <c r="C310" s="787"/>
      <c r="D310" s="265" t="s">
        <v>390</v>
      </c>
      <c r="E310" s="332" t="s">
        <v>391</v>
      </c>
      <c r="F310" s="264" t="s">
        <v>392</v>
      </c>
      <c r="G310" s="331"/>
      <c r="H310" s="332"/>
      <c r="I310" s="332"/>
      <c r="J310" s="332"/>
      <c r="K310" s="332"/>
      <c r="L310" s="333"/>
    </row>
    <row r="311" spans="2:12" x14ac:dyDescent="0.2">
      <c r="B311" s="324"/>
      <c r="C311" s="324"/>
      <c r="D311" s="788"/>
      <c r="E311" s="268"/>
      <c r="F311" s="790"/>
      <c r="G311" s="783"/>
      <c r="H311" s="784"/>
      <c r="I311" s="784"/>
      <c r="J311" s="784"/>
      <c r="K311" s="784"/>
      <c r="L311" s="785"/>
    </row>
    <row r="312" spans="2:12" x14ac:dyDescent="0.2">
      <c r="B312" s="324"/>
      <c r="C312" s="324"/>
      <c r="D312" s="789"/>
      <c r="E312" s="268"/>
      <c r="F312" s="791"/>
      <c r="G312" s="783"/>
      <c r="H312" s="784"/>
      <c r="I312" s="784"/>
      <c r="J312" s="784"/>
      <c r="K312" s="784"/>
      <c r="L312" s="785"/>
    </row>
    <row r="313" spans="2:12" x14ac:dyDescent="0.2">
      <c r="B313" s="792" t="s">
        <v>367</v>
      </c>
      <c r="C313" s="793"/>
      <c r="D313" s="793"/>
      <c r="E313" s="793"/>
      <c r="F313" s="793"/>
      <c r="G313" s="793"/>
      <c r="H313" s="793"/>
      <c r="I313" s="793"/>
      <c r="J313" s="793"/>
      <c r="K313" s="793"/>
      <c r="L313" s="794"/>
    </row>
    <row r="314" spans="2:12" ht="25.5" x14ac:dyDescent="0.2">
      <c r="B314" s="263" t="s">
        <v>368</v>
      </c>
      <c r="C314" s="795" t="s">
        <v>369</v>
      </c>
      <c r="D314" s="796"/>
      <c r="E314" s="797"/>
      <c r="F314" s="795" t="s">
        <v>370</v>
      </c>
      <c r="G314" s="796"/>
      <c r="H314" s="797"/>
      <c r="I314" s="795" t="s">
        <v>371</v>
      </c>
      <c r="J314" s="797"/>
      <c r="K314" s="241" t="s">
        <v>372</v>
      </c>
      <c r="L314" s="242" t="s">
        <v>373</v>
      </c>
    </row>
    <row r="315" spans="2:12" x14ac:dyDescent="0.2">
      <c r="B315" s="243" t="s">
        <v>374</v>
      </c>
      <c r="C315" s="798" t="s">
        <v>407</v>
      </c>
      <c r="D315" s="799"/>
      <c r="E315" s="800"/>
      <c r="F315" s="801"/>
      <c r="G315" s="802"/>
      <c r="H315" s="330"/>
      <c r="I315" s="801"/>
      <c r="J315" s="802"/>
      <c r="K315" s="266"/>
      <c r="L315" s="245"/>
    </row>
    <row r="316" spans="2:12" x14ac:dyDescent="0.2">
      <c r="B316" s="243" t="s">
        <v>375</v>
      </c>
      <c r="C316" s="798" t="s">
        <v>407</v>
      </c>
      <c r="D316" s="799"/>
      <c r="E316" s="800"/>
      <c r="F316" s="801"/>
      <c r="G316" s="802"/>
      <c r="H316" s="330"/>
      <c r="I316" s="801"/>
      <c r="J316" s="802"/>
      <c r="K316" s="266"/>
      <c r="L316" s="245"/>
    </row>
    <row r="317" spans="2:12" x14ac:dyDescent="0.2">
      <c r="B317" s="243" t="s">
        <v>376</v>
      </c>
      <c r="C317" s="798" t="s">
        <v>407</v>
      </c>
      <c r="D317" s="799"/>
      <c r="E317" s="800"/>
      <c r="F317" s="801"/>
      <c r="G317" s="802"/>
      <c r="H317" s="330"/>
      <c r="I317" s="801"/>
      <c r="J317" s="802"/>
      <c r="K317" s="266"/>
      <c r="L317" s="245"/>
    </row>
    <row r="318" spans="2:12" x14ac:dyDescent="0.2">
      <c r="B318" s="805" t="s">
        <v>377</v>
      </c>
      <c r="C318" s="806"/>
      <c r="D318" s="806"/>
      <c r="E318" s="806"/>
      <c r="F318" s="806"/>
      <c r="G318" s="806"/>
      <c r="H318" s="806"/>
      <c r="I318" s="806"/>
      <c r="J318" s="807"/>
      <c r="K318" s="814" t="s">
        <v>378</v>
      </c>
      <c r="L318" s="815"/>
    </row>
    <row r="319" spans="2:12" x14ac:dyDescent="0.2">
      <c r="B319" s="808"/>
      <c r="C319" s="809"/>
      <c r="D319" s="809"/>
      <c r="E319" s="809"/>
      <c r="F319" s="809"/>
      <c r="G319" s="809"/>
      <c r="H319" s="809"/>
      <c r="I319" s="809"/>
      <c r="J319" s="810"/>
      <c r="K319" s="246" t="s">
        <v>379</v>
      </c>
      <c r="L319" s="245"/>
    </row>
    <row r="320" spans="2:12" x14ac:dyDescent="0.2">
      <c r="B320" s="808"/>
      <c r="C320" s="809"/>
      <c r="D320" s="809"/>
      <c r="E320" s="809"/>
      <c r="F320" s="809"/>
      <c r="G320" s="809"/>
      <c r="H320" s="809"/>
      <c r="I320" s="809"/>
      <c r="J320" s="810"/>
      <c r="K320" s="246" t="s">
        <v>380</v>
      </c>
      <c r="L320" s="245"/>
    </row>
    <row r="321" spans="2:12" ht="13.5" thickBot="1" x14ac:dyDescent="0.25">
      <c r="B321" s="811"/>
      <c r="C321" s="812"/>
      <c r="D321" s="812"/>
      <c r="E321" s="812"/>
      <c r="F321" s="812"/>
      <c r="G321" s="812"/>
      <c r="H321" s="812"/>
      <c r="I321" s="812"/>
      <c r="J321" s="813"/>
      <c r="K321" s="247" t="s">
        <v>381</v>
      </c>
      <c r="L321" s="248"/>
    </row>
    <row r="322" spans="2:12" x14ac:dyDescent="0.2">
      <c r="B322" s="362"/>
      <c r="C322" s="360"/>
      <c r="D322" s="360"/>
      <c r="E322" s="360"/>
      <c r="F322" s="360"/>
      <c r="G322" s="360"/>
      <c r="H322" s="360"/>
      <c r="I322" s="360"/>
      <c r="J322" s="360"/>
      <c r="K322" s="361"/>
      <c r="L322" s="363"/>
    </row>
    <row r="323" spans="2:12" x14ac:dyDescent="0.2">
      <c r="B323" s="364"/>
      <c r="C323" s="365"/>
      <c r="D323" s="365"/>
      <c r="E323" s="365"/>
      <c r="F323" s="365"/>
      <c r="G323" s="365"/>
      <c r="H323" s="365"/>
      <c r="I323" s="365"/>
      <c r="J323" s="365"/>
      <c r="K323" s="365"/>
      <c r="L323" s="366"/>
    </row>
    <row r="324" spans="2:12" x14ac:dyDescent="0.2">
      <c r="B324" s="758" t="s">
        <v>382</v>
      </c>
      <c r="C324" s="759"/>
      <c r="D324" s="759"/>
      <c r="E324" s="759"/>
      <c r="F324" s="759"/>
      <c r="G324" s="759"/>
      <c r="H324" s="759"/>
      <c r="I324" s="759"/>
      <c r="J324" s="759"/>
      <c r="K324" s="759"/>
      <c r="L324" s="760"/>
    </row>
    <row r="325" spans="2:12" x14ac:dyDescent="0.2">
      <c r="B325" s="300">
        <v>1</v>
      </c>
      <c r="C325" s="745" t="s">
        <v>457</v>
      </c>
      <c r="D325" s="746"/>
      <c r="E325" s="746"/>
      <c r="F325" s="746"/>
      <c r="G325" s="746"/>
      <c r="H325" s="746"/>
      <c r="I325" s="746"/>
      <c r="J325" s="746"/>
      <c r="K325" s="746"/>
      <c r="L325" s="747"/>
    </row>
    <row r="326" spans="2:12" x14ac:dyDescent="0.2">
      <c r="B326" s="339">
        <v>2</v>
      </c>
      <c r="C326" s="745" t="s">
        <v>460</v>
      </c>
      <c r="D326" s="746"/>
      <c r="E326" s="746"/>
      <c r="F326" s="746"/>
      <c r="G326" s="746"/>
      <c r="H326" s="746"/>
      <c r="I326" s="746"/>
      <c r="J326" s="746"/>
      <c r="K326" s="746"/>
      <c r="L326" s="747"/>
    </row>
    <row r="327" spans="2:12" x14ac:dyDescent="0.2">
      <c r="B327" s="339">
        <v>3</v>
      </c>
      <c r="C327" s="748" t="s">
        <v>462</v>
      </c>
      <c r="D327" s="749"/>
      <c r="E327" s="749"/>
      <c r="F327" s="749"/>
      <c r="G327" s="749"/>
      <c r="H327" s="749"/>
      <c r="I327" s="749"/>
      <c r="J327" s="749"/>
      <c r="K327" s="749"/>
      <c r="L327" s="750"/>
    </row>
    <row r="328" spans="2:12" x14ac:dyDescent="0.2">
      <c r="B328" s="356">
        <v>4</v>
      </c>
      <c r="C328" s="748" t="s">
        <v>432</v>
      </c>
      <c r="D328" s="749"/>
      <c r="E328" s="749"/>
      <c r="F328" s="749"/>
      <c r="G328" s="749"/>
      <c r="H328" s="749"/>
      <c r="I328" s="749"/>
      <c r="J328" s="749"/>
      <c r="K328" s="749"/>
      <c r="L328" s="750"/>
    </row>
    <row r="329" spans="2:12" x14ac:dyDescent="0.2">
      <c r="B329" s="356"/>
      <c r="C329" s="765"/>
      <c r="D329" s="766"/>
      <c r="E329" s="766"/>
      <c r="F329" s="766"/>
      <c r="G329" s="766"/>
      <c r="H329" s="766"/>
      <c r="I329" s="766"/>
      <c r="J329" s="766"/>
      <c r="K329" s="766"/>
      <c r="L329" s="767"/>
    </row>
    <row r="330" spans="2:12" x14ac:dyDescent="0.2">
      <c r="B330" s="300"/>
      <c r="C330" s="748"/>
      <c r="D330" s="749"/>
      <c r="E330" s="749"/>
      <c r="F330" s="749"/>
      <c r="G330" s="749"/>
      <c r="H330" s="749"/>
      <c r="I330" s="749"/>
      <c r="J330" s="749"/>
      <c r="K330" s="749"/>
      <c r="L330" s="750"/>
    </row>
    <row r="331" spans="2:12" x14ac:dyDescent="0.2">
      <c r="B331" s="758" t="s">
        <v>386</v>
      </c>
      <c r="C331" s="759"/>
      <c r="D331" s="759"/>
      <c r="E331" s="759"/>
      <c r="F331" s="759"/>
      <c r="G331" s="759"/>
      <c r="H331" s="759"/>
      <c r="I331" s="759"/>
      <c r="J331" s="759"/>
      <c r="K331" s="759"/>
      <c r="L331" s="760"/>
    </row>
    <row r="332" spans="2:12" x14ac:dyDescent="0.2">
      <c r="B332" s="269">
        <v>1</v>
      </c>
      <c r="C332" s="757" t="s">
        <v>419</v>
      </c>
      <c r="D332" s="746"/>
      <c r="E332" s="746"/>
      <c r="F332" s="746"/>
      <c r="G332" s="746"/>
      <c r="H332" s="746"/>
      <c r="I332" s="746"/>
      <c r="J332" s="746"/>
      <c r="K332" s="746"/>
      <c r="L332" s="747"/>
    </row>
    <row r="333" spans="2:12" x14ac:dyDescent="0.2">
      <c r="B333" s="269"/>
      <c r="C333" s="757"/>
      <c r="D333" s="746"/>
      <c r="E333" s="746"/>
      <c r="F333" s="746"/>
      <c r="G333" s="746"/>
      <c r="H333" s="746"/>
      <c r="I333" s="746"/>
      <c r="J333" s="746"/>
      <c r="K333" s="746"/>
      <c r="L333" s="747"/>
    </row>
    <row r="334" spans="2:12" x14ac:dyDescent="0.2">
      <c r="B334" s="269"/>
      <c r="C334" s="757"/>
      <c r="D334" s="746"/>
      <c r="E334" s="746"/>
      <c r="F334" s="746"/>
      <c r="G334" s="746"/>
      <c r="H334" s="746"/>
      <c r="I334" s="746"/>
      <c r="J334" s="746"/>
      <c r="K334" s="746"/>
      <c r="L334" s="747"/>
    </row>
    <row r="335" spans="2:12" x14ac:dyDescent="0.2">
      <c r="B335" s="758" t="s">
        <v>387</v>
      </c>
      <c r="C335" s="759"/>
      <c r="D335" s="759"/>
      <c r="E335" s="759"/>
      <c r="F335" s="759"/>
      <c r="G335" s="759"/>
      <c r="H335" s="759"/>
      <c r="I335" s="759"/>
      <c r="J335" s="759"/>
      <c r="K335" s="759"/>
      <c r="L335" s="760"/>
    </row>
    <row r="336" spans="2:12" x14ac:dyDescent="0.2">
      <c r="B336" s="269"/>
      <c r="C336" s="757"/>
      <c r="D336" s="746"/>
      <c r="E336" s="746"/>
      <c r="F336" s="746"/>
      <c r="G336" s="746"/>
      <c r="H336" s="746"/>
      <c r="I336" s="746"/>
      <c r="J336" s="746"/>
      <c r="K336" s="746"/>
      <c r="L336" s="747"/>
    </row>
    <row r="337" spans="2:12" x14ac:dyDescent="0.2">
      <c r="B337" s="269"/>
      <c r="C337" s="757"/>
      <c r="D337" s="746"/>
      <c r="E337" s="746"/>
      <c r="F337" s="746"/>
      <c r="G337" s="746"/>
      <c r="H337" s="746"/>
      <c r="I337" s="746"/>
      <c r="J337" s="746"/>
      <c r="K337" s="746"/>
      <c r="L337" s="747"/>
    </row>
    <row r="338" spans="2:12" x14ac:dyDescent="0.2">
      <c r="B338" s="269"/>
      <c r="C338" s="757"/>
      <c r="D338" s="746"/>
      <c r="E338" s="746"/>
      <c r="F338" s="746"/>
      <c r="G338" s="746"/>
      <c r="H338" s="746"/>
      <c r="I338" s="746"/>
      <c r="J338" s="746"/>
      <c r="K338" s="746"/>
      <c r="L338" s="747"/>
    </row>
    <row r="339" spans="2:12" x14ac:dyDescent="0.2">
      <c r="B339" s="761" t="s">
        <v>383</v>
      </c>
      <c r="C339" s="762"/>
      <c r="D339" s="762"/>
      <c r="E339" s="762"/>
      <c r="F339" s="762"/>
      <c r="G339" s="762"/>
      <c r="H339" s="762"/>
      <c r="I339" s="762"/>
      <c r="J339" s="762"/>
      <c r="K339" s="762"/>
      <c r="L339" s="763"/>
    </row>
    <row r="340" spans="2:12" x14ac:dyDescent="0.2">
      <c r="B340" s="764" t="s">
        <v>446</v>
      </c>
      <c r="C340" s="746"/>
      <c r="D340" s="746"/>
      <c r="E340" s="746"/>
      <c r="F340" s="746"/>
      <c r="G340" s="746"/>
      <c r="H340" s="746"/>
      <c r="I340" s="746"/>
      <c r="J340" s="746"/>
      <c r="K340" s="746"/>
      <c r="L340" s="747"/>
    </row>
    <row r="341" spans="2:12" x14ac:dyDescent="0.2">
      <c r="B341" s="764"/>
      <c r="C341" s="746"/>
      <c r="D341" s="746"/>
      <c r="E341" s="746"/>
      <c r="F341" s="746"/>
      <c r="G341" s="746"/>
      <c r="H341" s="746"/>
      <c r="I341" s="746"/>
      <c r="J341" s="746"/>
      <c r="K341" s="746"/>
      <c r="L341" s="747"/>
    </row>
    <row r="342" spans="2:12" x14ac:dyDescent="0.2">
      <c r="B342" s="764"/>
      <c r="C342" s="746"/>
      <c r="D342" s="746"/>
      <c r="E342" s="746"/>
      <c r="F342" s="746"/>
      <c r="G342" s="746"/>
      <c r="H342" s="746"/>
      <c r="I342" s="746"/>
      <c r="J342" s="746"/>
      <c r="K342" s="746"/>
      <c r="L342" s="747"/>
    </row>
    <row r="343" spans="2:12" x14ac:dyDescent="0.2">
      <c r="B343" s="764"/>
      <c r="C343" s="746"/>
      <c r="D343" s="746"/>
      <c r="E343" s="746"/>
      <c r="F343" s="746"/>
      <c r="G343" s="746"/>
      <c r="H343" s="746"/>
      <c r="I343" s="746"/>
      <c r="J343" s="746"/>
      <c r="K343" s="746"/>
      <c r="L343" s="747"/>
    </row>
    <row r="344" spans="2:12" x14ac:dyDescent="0.2">
      <c r="B344" s="768"/>
      <c r="C344" s="769"/>
      <c r="D344" s="769"/>
      <c r="E344" s="769"/>
      <c r="F344" s="769"/>
      <c r="G344" s="327"/>
      <c r="H344" s="769"/>
      <c r="I344" s="769"/>
      <c r="J344" s="769"/>
      <c r="K344" s="769"/>
      <c r="L344" s="774"/>
    </row>
    <row r="345" spans="2:12" x14ac:dyDescent="0.2">
      <c r="B345" s="770"/>
      <c r="C345" s="771"/>
      <c r="D345" s="771"/>
      <c r="E345" s="771"/>
      <c r="F345" s="771"/>
      <c r="G345" s="328"/>
      <c r="H345" s="771"/>
      <c r="I345" s="771"/>
      <c r="J345" s="771"/>
      <c r="K345" s="771"/>
      <c r="L345" s="775"/>
    </row>
    <row r="346" spans="2:12" x14ac:dyDescent="0.2">
      <c r="B346" s="770"/>
      <c r="C346" s="771"/>
      <c r="D346" s="771"/>
      <c r="E346" s="771"/>
      <c r="F346" s="771"/>
      <c r="G346" s="328"/>
      <c r="H346" s="771"/>
      <c r="I346" s="771"/>
      <c r="J346" s="771"/>
      <c r="K346" s="771"/>
      <c r="L346" s="775"/>
    </row>
    <row r="347" spans="2:12" x14ac:dyDescent="0.2">
      <c r="B347" s="772"/>
      <c r="C347" s="773"/>
      <c r="D347" s="773"/>
      <c r="E347" s="773"/>
      <c r="F347" s="773"/>
      <c r="G347" s="329"/>
      <c r="H347" s="773"/>
      <c r="I347" s="773"/>
      <c r="J347" s="773"/>
      <c r="K347" s="773"/>
      <c r="L347" s="776"/>
    </row>
    <row r="348" spans="2:12" ht="13.5" thickBot="1" x14ac:dyDescent="0.25">
      <c r="B348" s="751" t="s">
        <v>384</v>
      </c>
      <c r="C348" s="752"/>
      <c r="D348" s="752"/>
      <c r="E348" s="752"/>
      <c r="F348" s="752"/>
      <c r="G348" s="325"/>
      <c r="H348" s="752" t="s">
        <v>385</v>
      </c>
      <c r="I348" s="752"/>
      <c r="J348" s="752"/>
      <c r="K348" s="752"/>
      <c r="L348" s="753"/>
    </row>
    <row r="350" spans="2:12" ht="13.5" thickBot="1" x14ac:dyDescent="0.25"/>
    <row r="351" spans="2:12" ht="23.25" x14ac:dyDescent="0.2">
      <c r="B351" s="862" t="s">
        <v>336</v>
      </c>
      <c r="C351" s="863"/>
      <c r="D351" s="863"/>
      <c r="E351" s="863"/>
      <c r="F351" s="863"/>
      <c r="G351" s="863"/>
      <c r="H351" s="863"/>
      <c r="I351" s="863"/>
      <c r="J351" s="863"/>
      <c r="K351" s="863"/>
      <c r="L351" s="864"/>
    </row>
    <row r="352" spans="2:12" ht="20.25" x14ac:dyDescent="0.2">
      <c r="B352" s="20"/>
      <c r="C352" s="21"/>
      <c r="D352" s="210"/>
      <c r="E352" s="210"/>
      <c r="F352" s="210"/>
      <c r="G352" s="210"/>
      <c r="H352" s="210"/>
      <c r="I352" s="210"/>
      <c r="J352" s="210"/>
      <c r="K352" s="211" t="str">
        <f>("DATA ATUAL:"&amp;"    "&amp;UPPER(LEFT(TEXT(L352,"DDDD"),7)))</f>
        <v>DATA ATUAL:    SÁBADO</v>
      </c>
      <c r="L352" s="253">
        <v>44674</v>
      </c>
    </row>
    <row r="353" spans="2:12" ht="20.25" x14ac:dyDescent="0.2">
      <c r="B353" s="20"/>
      <c r="C353" s="21"/>
      <c r="D353" s="212"/>
      <c r="E353" s="212"/>
      <c r="F353" s="212"/>
      <c r="G353" s="212"/>
      <c r="H353" s="212"/>
      <c r="I353" s="212"/>
      <c r="J353" s="212"/>
      <c r="K353" s="211" t="s">
        <v>337</v>
      </c>
      <c r="L353" s="359">
        <v>5</v>
      </c>
    </row>
    <row r="354" spans="2:12" ht="20.25" x14ac:dyDescent="0.2">
      <c r="B354" s="20"/>
      <c r="C354" s="21"/>
      <c r="D354" s="865" t="s">
        <v>338</v>
      </c>
      <c r="E354" s="865"/>
      <c r="F354" s="865"/>
      <c r="G354" s="865"/>
      <c r="H354" s="865"/>
      <c r="I354" s="865"/>
      <c r="J354" s="212"/>
      <c r="K354" s="211" t="s">
        <v>339</v>
      </c>
      <c r="L354" s="255">
        <f>IFERROR(IF(AND(L359&gt;0,L358&gt;0),L359-L358,0),"")</f>
        <v>31</v>
      </c>
    </row>
    <row r="355" spans="2:12" x14ac:dyDescent="0.2">
      <c r="B355" s="20"/>
      <c r="C355" s="21"/>
      <c r="D355" s="866" t="s">
        <v>340</v>
      </c>
      <c r="E355" s="866"/>
      <c r="F355" s="866"/>
      <c r="G355" s="866"/>
      <c r="H355" s="866"/>
      <c r="I355" s="866"/>
      <c r="J355" s="213"/>
      <c r="K355" s="211" t="s">
        <v>341</v>
      </c>
      <c r="L355" s="255">
        <f>IF(OR(AND(K403&lt;&gt;"",K404&lt;&gt;"",K405&lt;&gt;""),AND(D399&lt;&gt;"",F399&lt;&gt;"")),IF(L358&gt;0,(L352-L358)-1,0),IF(L358&gt;0,L352-L358+1,0))</f>
        <v>5</v>
      </c>
    </row>
    <row r="356" spans="2:12" x14ac:dyDescent="0.2">
      <c r="B356" s="20"/>
      <c r="C356" s="21"/>
      <c r="D356" s="867" t="s">
        <v>342</v>
      </c>
      <c r="E356" s="867"/>
      <c r="F356" s="867"/>
      <c r="G356" s="867"/>
      <c r="H356" s="867"/>
      <c r="I356" s="867"/>
      <c r="J356" s="214"/>
      <c r="K356" s="211" t="s">
        <v>343</v>
      </c>
      <c r="L356" s="255">
        <f>IFERROR(L354-L355,"")</f>
        <v>26</v>
      </c>
    </row>
    <row r="357" spans="2:12" x14ac:dyDescent="0.2">
      <c r="B357" s="758" t="s">
        <v>344</v>
      </c>
      <c r="C357" s="759"/>
      <c r="D357" s="759"/>
      <c r="E357" s="759"/>
      <c r="F357" s="759"/>
      <c r="G357" s="759"/>
      <c r="H357" s="759"/>
      <c r="I357" s="759"/>
      <c r="J357" s="759"/>
      <c r="K357" s="759"/>
      <c r="L357" s="760"/>
    </row>
    <row r="358" spans="2:12" x14ac:dyDescent="0.2">
      <c r="B358" s="868" t="s">
        <v>345</v>
      </c>
      <c r="C358" s="852"/>
      <c r="D358" s="852" t="s">
        <v>404</v>
      </c>
      <c r="E358" s="852"/>
      <c r="F358" s="852"/>
      <c r="G358" s="852"/>
      <c r="H358" s="852"/>
      <c r="I358" s="852"/>
      <c r="J358" s="852"/>
      <c r="K358" s="216" t="s">
        <v>346</v>
      </c>
      <c r="L358" s="217">
        <v>44670</v>
      </c>
    </row>
    <row r="359" spans="2:12" x14ac:dyDescent="0.2">
      <c r="B359" s="354" t="s">
        <v>347</v>
      </c>
      <c r="C359" s="852"/>
      <c r="D359" s="852"/>
      <c r="E359" s="852"/>
      <c r="F359" s="852"/>
      <c r="G359" s="852"/>
      <c r="H359" s="852"/>
      <c r="I359" s="852"/>
      <c r="J359" s="852"/>
      <c r="K359" s="216" t="s">
        <v>348</v>
      </c>
      <c r="L359" s="217">
        <v>44701</v>
      </c>
    </row>
    <row r="360" spans="2:12" x14ac:dyDescent="0.2">
      <c r="B360" s="868" t="s">
        <v>349</v>
      </c>
      <c r="C360" s="852"/>
      <c r="D360" s="852" t="s">
        <v>405</v>
      </c>
      <c r="E360" s="852"/>
      <c r="F360" s="852"/>
      <c r="G360" s="852"/>
      <c r="H360" s="852"/>
      <c r="I360" s="852"/>
      <c r="J360" s="852"/>
      <c r="K360" s="852"/>
      <c r="L360" s="853"/>
    </row>
    <row r="361" spans="2:12" x14ac:dyDescent="0.2">
      <c r="B361" s="868" t="s">
        <v>350</v>
      </c>
      <c r="C361" s="869"/>
      <c r="D361" s="869"/>
      <c r="E361" s="852" t="s">
        <v>402</v>
      </c>
      <c r="F361" s="852"/>
      <c r="G361" s="852"/>
      <c r="H361" s="852"/>
      <c r="I361" s="852"/>
      <c r="J361" s="852"/>
      <c r="K361" s="852"/>
      <c r="L361" s="853"/>
    </row>
    <row r="362" spans="2:12" x14ac:dyDescent="0.2">
      <c r="B362" s="354" t="s">
        <v>351</v>
      </c>
      <c r="C362" s="355"/>
      <c r="D362" s="870"/>
      <c r="E362" s="870"/>
      <c r="F362" s="870"/>
      <c r="G362" s="870"/>
      <c r="H362" s="870"/>
      <c r="I362" s="870"/>
      <c r="J362" s="870"/>
      <c r="K362" s="870"/>
      <c r="L362" s="871"/>
    </row>
    <row r="363" spans="2:12" x14ac:dyDescent="0.2">
      <c r="B363" s="758" t="s">
        <v>352</v>
      </c>
      <c r="C363" s="759"/>
      <c r="D363" s="759"/>
      <c r="E363" s="759"/>
      <c r="F363" s="759"/>
      <c r="G363" s="759"/>
      <c r="H363" s="759"/>
      <c r="I363" s="759"/>
      <c r="J363" s="759"/>
      <c r="K363" s="759"/>
      <c r="L363" s="760"/>
    </row>
    <row r="364" spans="2:12" x14ac:dyDescent="0.2">
      <c r="B364" s="868" t="s">
        <v>353</v>
      </c>
      <c r="C364" s="869"/>
      <c r="D364" s="869"/>
      <c r="E364" s="852"/>
      <c r="F364" s="852"/>
      <c r="G364" s="852"/>
      <c r="H364" s="852"/>
      <c r="I364" s="852"/>
      <c r="J364" s="852"/>
      <c r="K364" s="852"/>
      <c r="L364" s="853"/>
    </row>
    <row r="365" spans="2:12" x14ac:dyDescent="0.2">
      <c r="B365" s="219" t="s">
        <v>321</v>
      </c>
      <c r="C365" s="852"/>
      <c r="D365" s="852"/>
      <c r="E365" s="852"/>
      <c r="F365" s="852"/>
      <c r="G365" s="852"/>
      <c r="H365" s="852"/>
      <c r="I365" s="852"/>
      <c r="J365" s="852"/>
      <c r="K365" s="852"/>
      <c r="L365" s="853"/>
    </row>
    <row r="366" spans="2:12" x14ac:dyDescent="0.2">
      <c r="B366" s="219" t="s">
        <v>351</v>
      </c>
      <c r="C366" s="852"/>
      <c r="D366" s="852"/>
      <c r="E366" s="852"/>
      <c r="F366" s="852"/>
      <c r="G366" s="852"/>
      <c r="H366" s="852"/>
      <c r="I366" s="852"/>
      <c r="J366" s="852"/>
      <c r="K366" s="852"/>
      <c r="L366" s="853"/>
    </row>
    <row r="367" spans="2:12" x14ac:dyDescent="0.2">
      <c r="B367" s="219" t="s">
        <v>354</v>
      </c>
      <c r="C367" s="852"/>
      <c r="D367" s="852"/>
      <c r="E367" s="852"/>
      <c r="F367" s="852"/>
      <c r="G367" s="852"/>
      <c r="H367" s="852"/>
      <c r="I367" s="852"/>
      <c r="J367" s="852"/>
      <c r="K367" s="852"/>
      <c r="L367" s="853"/>
    </row>
    <row r="368" spans="2:12" x14ac:dyDescent="0.2">
      <c r="B368" s="758" t="s">
        <v>355</v>
      </c>
      <c r="C368" s="759"/>
      <c r="D368" s="759"/>
      <c r="E368" s="759"/>
      <c r="F368" s="759"/>
      <c r="G368" s="759"/>
      <c r="H368" s="759"/>
      <c r="I368" s="759"/>
      <c r="J368" s="759"/>
      <c r="K368" s="759"/>
      <c r="L368" s="760"/>
    </row>
    <row r="369" spans="2:12" x14ac:dyDescent="0.2">
      <c r="B369" s="803" t="s">
        <v>356</v>
      </c>
      <c r="C369" s="782"/>
      <c r="D369" s="782"/>
      <c r="E369" s="782"/>
      <c r="F369" s="782"/>
      <c r="G369" s="782"/>
      <c r="H369" s="782"/>
      <c r="I369" s="782"/>
      <c r="J369" s="782"/>
      <c r="K369" s="782"/>
      <c r="L369" s="804"/>
    </row>
    <row r="370" spans="2:12" x14ac:dyDescent="0.2">
      <c r="B370" s="854" t="s">
        <v>357</v>
      </c>
      <c r="C370" s="824"/>
      <c r="D370" s="825"/>
      <c r="E370" s="840" t="s">
        <v>358</v>
      </c>
      <c r="F370" s="841"/>
      <c r="G370" s="841"/>
      <c r="H370" s="841"/>
      <c r="I370" s="841"/>
      <c r="J370" s="841"/>
      <c r="K370" s="842"/>
      <c r="L370" s="855" t="s">
        <v>359</v>
      </c>
    </row>
    <row r="371" spans="2:12" x14ac:dyDescent="0.2">
      <c r="B371" s="854"/>
      <c r="C371" s="824"/>
      <c r="D371" s="825"/>
      <c r="E371" s="843"/>
      <c r="F371" s="844"/>
      <c r="G371" s="844"/>
      <c r="H371" s="844"/>
      <c r="I371" s="844"/>
      <c r="J371" s="844"/>
      <c r="K371" s="845"/>
      <c r="L371" s="856"/>
    </row>
    <row r="372" spans="2:12" x14ac:dyDescent="0.2">
      <c r="B372" s="857" t="s">
        <v>400</v>
      </c>
      <c r="C372" s="746"/>
      <c r="D372" s="858"/>
      <c r="E372" s="748" t="s">
        <v>412</v>
      </c>
      <c r="F372" s="859"/>
      <c r="G372" s="859"/>
      <c r="H372" s="859"/>
      <c r="I372" s="859"/>
      <c r="J372" s="859"/>
      <c r="K372" s="858"/>
      <c r="L372" s="220">
        <v>2</v>
      </c>
    </row>
    <row r="373" spans="2:12" x14ac:dyDescent="0.2">
      <c r="B373" s="764" t="s">
        <v>416</v>
      </c>
      <c r="C373" s="746"/>
      <c r="D373" s="858"/>
      <c r="E373" s="860" t="s">
        <v>417</v>
      </c>
      <c r="F373" s="859"/>
      <c r="G373" s="859"/>
      <c r="H373" s="859"/>
      <c r="I373" s="859"/>
      <c r="J373" s="859"/>
      <c r="K373" s="858"/>
      <c r="L373" s="220">
        <v>1</v>
      </c>
    </row>
    <row r="374" spans="2:12" x14ac:dyDescent="0.2">
      <c r="B374" s="764" t="s">
        <v>411</v>
      </c>
      <c r="C374" s="859"/>
      <c r="D374" s="858"/>
      <c r="E374" s="860" t="s">
        <v>413</v>
      </c>
      <c r="F374" s="859"/>
      <c r="G374" s="859"/>
      <c r="H374" s="859"/>
      <c r="I374" s="859"/>
      <c r="J374" s="859"/>
      <c r="K374" s="858"/>
      <c r="L374" s="221">
        <v>1</v>
      </c>
    </row>
    <row r="375" spans="2:12" x14ac:dyDescent="0.2">
      <c r="B375" s="764"/>
      <c r="C375" s="859"/>
      <c r="D375" s="858"/>
      <c r="E375" s="860"/>
      <c r="F375" s="859"/>
      <c r="G375" s="859"/>
      <c r="H375" s="859"/>
      <c r="I375" s="859"/>
      <c r="J375" s="859"/>
      <c r="K375" s="858"/>
      <c r="L375" s="221"/>
    </row>
    <row r="376" spans="2:12" x14ac:dyDescent="0.2">
      <c r="B376" s="777" t="s">
        <v>360</v>
      </c>
      <c r="C376" s="861"/>
      <c r="D376" s="861"/>
      <c r="E376" s="861"/>
      <c r="F376" s="861"/>
      <c r="G376" s="861"/>
      <c r="H376" s="861"/>
      <c r="I376" s="861"/>
      <c r="J376" s="861"/>
      <c r="K376" s="779"/>
      <c r="L376" s="224">
        <f>SUM(L372:L375)</f>
        <v>4</v>
      </c>
    </row>
    <row r="377" spans="2:12" x14ac:dyDescent="0.2">
      <c r="B377" s="803" t="s">
        <v>361</v>
      </c>
      <c r="C377" s="782"/>
      <c r="D377" s="782"/>
      <c r="E377" s="782"/>
      <c r="F377" s="782"/>
      <c r="G377" s="782"/>
      <c r="H377" s="782"/>
      <c r="I377" s="782"/>
      <c r="J377" s="782"/>
      <c r="K377" s="782"/>
      <c r="L377" s="804"/>
    </row>
    <row r="378" spans="2:12" x14ac:dyDescent="0.2">
      <c r="B378" s="834" t="s">
        <v>362</v>
      </c>
      <c r="C378" s="840" t="s">
        <v>357</v>
      </c>
      <c r="D378" s="842"/>
      <c r="E378" s="840" t="s">
        <v>358</v>
      </c>
      <c r="F378" s="841"/>
      <c r="G378" s="841"/>
      <c r="H378" s="841"/>
      <c r="I378" s="841"/>
      <c r="J378" s="841"/>
      <c r="K378" s="842"/>
      <c r="L378" s="816" t="s">
        <v>359</v>
      </c>
    </row>
    <row r="379" spans="2:12" x14ac:dyDescent="0.2">
      <c r="B379" s="835"/>
      <c r="C379" s="843"/>
      <c r="D379" s="845"/>
      <c r="E379" s="843"/>
      <c r="F379" s="844"/>
      <c r="G379" s="844"/>
      <c r="H379" s="844"/>
      <c r="I379" s="844"/>
      <c r="J379" s="844"/>
      <c r="K379" s="845"/>
      <c r="L379" s="817"/>
    </row>
    <row r="380" spans="2:12" x14ac:dyDescent="0.2">
      <c r="B380" s="352"/>
      <c r="C380" s="818"/>
      <c r="D380" s="819"/>
      <c r="E380" s="820"/>
      <c r="F380" s="821"/>
      <c r="G380" s="821"/>
      <c r="H380" s="821"/>
      <c r="I380" s="821"/>
      <c r="J380" s="821"/>
      <c r="K380" s="822"/>
      <c r="L380" s="353"/>
    </row>
    <row r="381" spans="2:12" x14ac:dyDescent="0.2">
      <c r="B381" s="352"/>
      <c r="C381" s="818"/>
      <c r="D381" s="819"/>
      <c r="E381" s="820"/>
      <c r="F381" s="821"/>
      <c r="G381" s="821"/>
      <c r="H381" s="821"/>
      <c r="I381" s="821"/>
      <c r="J381" s="821"/>
      <c r="K381" s="822"/>
      <c r="L381" s="353"/>
    </row>
    <row r="382" spans="2:12" x14ac:dyDescent="0.2">
      <c r="B382" s="352"/>
      <c r="C382" s="818"/>
      <c r="D382" s="819"/>
      <c r="E382" s="823"/>
      <c r="F382" s="824"/>
      <c r="G382" s="824"/>
      <c r="H382" s="824"/>
      <c r="I382" s="824"/>
      <c r="J382" s="824"/>
      <c r="K382" s="825"/>
      <c r="L382" s="353"/>
    </row>
    <row r="383" spans="2:12" x14ac:dyDescent="0.2">
      <c r="B383" s="352"/>
      <c r="C383" s="818"/>
      <c r="D383" s="819"/>
      <c r="E383" s="823"/>
      <c r="F383" s="824"/>
      <c r="G383" s="824"/>
      <c r="H383" s="824"/>
      <c r="I383" s="824"/>
      <c r="J383" s="824"/>
      <c r="K383" s="825"/>
      <c r="L383" s="353"/>
    </row>
    <row r="384" spans="2:12" x14ac:dyDescent="0.2">
      <c r="B384" s="352"/>
      <c r="C384" s="818"/>
      <c r="D384" s="819"/>
      <c r="E384" s="823"/>
      <c r="F384" s="824"/>
      <c r="G384" s="824"/>
      <c r="H384" s="824"/>
      <c r="I384" s="824"/>
      <c r="J384" s="824"/>
      <c r="K384" s="825"/>
      <c r="L384" s="353"/>
    </row>
    <row r="385" spans="2:12" x14ac:dyDescent="0.2">
      <c r="B385" s="826" t="s">
        <v>360</v>
      </c>
      <c r="C385" s="827"/>
      <c r="D385" s="827"/>
      <c r="E385" s="827"/>
      <c r="F385" s="827"/>
      <c r="G385" s="827"/>
      <c r="H385" s="827"/>
      <c r="I385" s="827"/>
      <c r="J385" s="827"/>
      <c r="K385" s="828"/>
      <c r="L385" s="227">
        <f>SUM(L380:L384)</f>
        <v>0</v>
      </c>
    </row>
    <row r="386" spans="2:12" x14ac:dyDescent="0.2">
      <c r="B386" s="829" t="s">
        <v>406</v>
      </c>
      <c r="C386" s="830"/>
      <c r="D386" s="830"/>
      <c r="E386" s="830"/>
      <c r="F386" s="830"/>
      <c r="G386" s="830"/>
      <c r="H386" s="830"/>
      <c r="I386" s="830"/>
      <c r="J386" s="830"/>
      <c r="K386" s="831"/>
      <c r="L386" s="228">
        <f>L385+L376</f>
        <v>4</v>
      </c>
    </row>
    <row r="387" spans="2:12" x14ac:dyDescent="0.2">
      <c r="B387" s="758" t="s">
        <v>215</v>
      </c>
      <c r="C387" s="759"/>
      <c r="D387" s="759"/>
      <c r="E387" s="759"/>
      <c r="F387" s="759"/>
      <c r="G387" s="759"/>
      <c r="H387" s="759"/>
      <c r="I387" s="759"/>
      <c r="J387" s="759"/>
      <c r="K387" s="759"/>
      <c r="L387" s="760"/>
    </row>
    <row r="388" spans="2:12" x14ac:dyDescent="0.2">
      <c r="B388" s="803" t="s">
        <v>363</v>
      </c>
      <c r="C388" s="782"/>
      <c r="D388" s="782"/>
      <c r="E388" s="782"/>
      <c r="F388" s="782"/>
      <c r="G388" s="782"/>
      <c r="H388" s="782"/>
      <c r="I388" s="782"/>
      <c r="J388" s="803" t="s">
        <v>364</v>
      </c>
      <c r="K388" s="782"/>
      <c r="L388" s="804"/>
    </row>
    <row r="389" spans="2:12" x14ac:dyDescent="0.2">
      <c r="B389" s="834" t="s">
        <v>362</v>
      </c>
      <c r="C389" s="836" t="s">
        <v>29</v>
      </c>
      <c r="D389" s="837"/>
      <c r="E389" s="840" t="s">
        <v>1</v>
      </c>
      <c r="F389" s="841"/>
      <c r="G389" s="841"/>
      <c r="H389" s="842"/>
      <c r="I389" s="846" t="s">
        <v>359</v>
      </c>
      <c r="J389" s="848" t="s">
        <v>29</v>
      </c>
      <c r="K389" s="850" t="s">
        <v>1</v>
      </c>
      <c r="L389" s="846" t="s">
        <v>365</v>
      </c>
    </row>
    <row r="390" spans="2:12" x14ac:dyDescent="0.2">
      <c r="B390" s="835"/>
      <c r="C390" s="838"/>
      <c r="D390" s="839"/>
      <c r="E390" s="843"/>
      <c r="F390" s="844"/>
      <c r="G390" s="844"/>
      <c r="H390" s="845"/>
      <c r="I390" s="847"/>
      <c r="J390" s="849"/>
      <c r="K390" s="851"/>
      <c r="L390" s="847"/>
    </row>
    <row r="391" spans="2:12" x14ac:dyDescent="0.2">
      <c r="B391" s="229"/>
      <c r="C391" s="832"/>
      <c r="D391" s="822"/>
      <c r="E391" s="832"/>
      <c r="F391" s="833"/>
      <c r="G391" s="833"/>
      <c r="H391" s="822"/>
      <c r="I391" s="231"/>
      <c r="J391" s="351"/>
      <c r="K391" s="346"/>
      <c r="L391" s="221"/>
    </row>
    <row r="392" spans="2:12" x14ac:dyDescent="0.2">
      <c r="B392" s="229"/>
      <c r="C392" s="832"/>
      <c r="D392" s="822"/>
      <c r="E392" s="832"/>
      <c r="F392" s="833"/>
      <c r="G392" s="833"/>
      <c r="H392" s="822"/>
      <c r="I392" s="234"/>
      <c r="J392" s="235"/>
      <c r="K392" s="236"/>
      <c r="L392" s="237"/>
    </row>
    <row r="393" spans="2:12" x14ac:dyDescent="0.2">
      <c r="B393" s="229"/>
      <c r="C393" s="832"/>
      <c r="D393" s="822"/>
      <c r="E393" s="832"/>
      <c r="F393" s="833"/>
      <c r="G393" s="833"/>
      <c r="H393" s="822"/>
      <c r="I393" s="239"/>
      <c r="J393" s="230"/>
      <c r="K393" s="238"/>
      <c r="L393" s="220"/>
    </row>
    <row r="394" spans="2:12" x14ac:dyDescent="0.2">
      <c r="B394" s="777" t="s">
        <v>366</v>
      </c>
      <c r="C394" s="778"/>
      <c r="D394" s="778"/>
      <c r="E394" s="778"/>
      <c r="F394" s="778"/>
      <c r="G394" s="778"/>
      <c r="H394" s="779"/>
      <c r="I394" s="252">
        <f>SUM(I391:I393)</f>
        <v>0</v>
      </c>
      <c r="J394" s="780" t="s">
        <v>366</v>
      </c>
      <c r="K394" s="781"/>
      <c r="L394" s="240">
        <f>SUM(L391:L393)</f>
        <v>0</v>
      </c>
    </row>
    <row r="395" spans="2:12" x14ac:dyDescent="0.2">
      <c r="B395" s="777" t="s">
        <v>27</v>
      </c>
      <c r="C395" s="778"/>
      <c r="D395" s="778"/>
      <c r="E395" s="778"/>
      <c r="F395" s="778"/>
      <c r="G395" s="778"/>
      <c r="H395" s="778"/>
      <c r="I395" s="778"/>
      <c r="J395" s="778"/>
      <c r="K395" s="779"/>
      <c r="L395" s="240">
        <f>L394+I394</f>
        <v>0</v>
      </c>
    </row>
    <row r="396" spans="2:12" x14ac:dyDescent="0.2">
      <c r="B396" s="758" t="s">
        <v>388</v>
      </c>
      <c r="C396" s="759"/>
      <c r="D396" s="759"/>
      <c r="E396" s="759"/>
      <c r="F396" s="759"/>
      <c r="G396" s="759"/>
      <c r="H396" s="759"/>
      <c r="I396" s="759"/>
      <c r="J396" s="759"/>
      <c r="K396" s="759"/>
      <c r="L396" s="760"/>
    </row>
    <row r="397" spans="2:12" x14ac:dyDescent="0.2">
      <c r="B397" s="803" t="s">
        <v>368</v>
      </c>
      <c r="C397" s="782"/>
      <c r="D397" s="804"/>
      <c r="E397" s="782" t="s">
        <v>394</v>
      </c>
      <c r="F397" s="782"/>
      <c r="G397" s="783" t="s">
        <v>389</v>
      </c>
      <c r="H397" s="784"/>
      <c r="I397" s="784"/>
      <c r="J397" s="784"/>
      <c r="K397" s="784"/>
      <c r="L397" s="785"/>
    </row>
    <row r="398" spans="2:12" x14ac:dyDescent="0.2">
      <c r="B398" s="786" t="s">
        <v>393</v>
      </c>
      <c r="C398" s="787"/>
      <c r="D398" s="265" t="s">
        <v>390</v>
      </c>
      <c r="E398" s="349" t="s">
        <v>391</v>
      </c>
      <c r="F398" s="264" t="s">
        <v>392</v>
      </c>
      <c r="G398" s="348"/>
      <c r="H398" s="349"/>
      <c r="I398" s="349"/>
      <c r="J398" s="349"/>
      <c r="K398" s="349"/>
      <c r="L398" s="350"/>
    </row>
    <row r="399" spans="2:12" x14ac:dyDescent="0.2">
      <c r="B399" s="324"/>
      <c r="C399" s="324"/>
      <c r="D399" s="788" t="s">
        <v>407</v>
      </c>
      <c r="E399" s="268" t="s">
        <v>463</v>
      </c>
      <c r="F399" s="790"/>
      <c r="G399" s="783"/>
      <c r="H399" s="784"/>
      <c r="I399" s="784"/>
      <c r="J399" s="784"/>
      <c r="K399" s="784"/>
      <c r="L399" s="785"/>
    </row>
    <row r="400" spans="2:12" x14ac:dyDescent="0.2">
      <c r="B400" s="324"/>
      <c r="C400" s="324"/>
      <c r="D400" s="789"/>
      <c r="E400" s="268"/>
      <c r="F400" s="791"/>
      <c r="G400" s="783"/>
      <c r="H400" s="784"/>
      <c r="I400" s="784"/>
      <c r="J400" s="784"/>
      <c r="K400" s="784"/>
      <c r="L400" s="785"/>
    </row>
    <row r="401" spans="2:12" x14ac:dyDescent="0.2">
      <c r="B401" s="792" t="s">
        <v>367</v>
      </c>
      <c r="C401" s="793"/>
      <c r="D401" s="793"/>
      <c r="E401" s="793"/>
      <c r="F401" s="793"/>
      <c r="G401" s="793"/>
      <c r="H401" s="793"/>
      <c r="I401" s="793"/>
      <c r="J401" s="793"/>
      <c r="K401" s="793"/>
      <c r="L401" s="794"/>
    </row>
    <row r="402" spans="2:12" ht="25.5" x14ac:dyDescent="0.2">
      <c r="B402" s="263" t="s">
        <v>368</v>
      </c>
      <c r="C402" s="795" t="s">
        <v>369</v>
      </c>
      <c r="D402" s="796"/>
      <c r="E402" s="797"/>
      <c r="F402" s="795" t="s">
        <v>370</v>
      </c>
      <c r="G402" s="796"/>
      <c r="H402" s="797"/>
      <c r="I402" s="795" t="s">
        <v>371</v>
      </c>
      <c r="J402" s="797"/>
      <c r="K402" s="241" t="s">
        <v>372</v>
      </c>
      <c r="L402" s="242" t="s">
        <v>373</v>
      </c>
    </row>
    <row r="403" spans="2:12" x14ac:dyDescent="0.2">
      <c r="B403" s="243" t="s">
        <v>374</v>
      </c>
      <c r="C403" s="798" t="s">
        <v>407</v>
      </c>
      <c r="D403" s="799"/>
      <c r="E403" s="800"/>
      <c r="F403" s="801"/>
      <c r="G403" s="802"/>
      <c r="H403" s="347"/>
      <c r="I403" s="801"/>
      <c r="J403" s="802"/>
      <c r="K403" s="266"/>
      <c r="L403" s="245"/>
    </row>
    <row r="404" spans="2:12" x14ac:dyDescent="0.2">
      <c r="B404" s="243" t="s">
        <v>375</v>
      </c>
      <c r="C404" s="798" t="s">
        <v>407</v>
      </c>
      <c r="D404" s="799"/>
      <c r="E404" s="800"/>
      <c r="F404" s="801"/>
      <c r="G404" s="802"/>
      <c r="H404" s="347"/>
      <c r="I404" s="801"/>
      <c r="J404" s="802"/>
      <c r="K404" s="266"/>
      <c r="L404" s="245"/>
    </row>
    <row r="405" spans="2:12" x14ac:dyDescent="0.2">
      <c r="B405" s="243" t="s">
        <v>376</v>
      </c>
      <c r="C405" s="798" t="s">
        <v>407</v>
      </c>
      <c r="D405" s="799"/>
      <c r="E405" s="800"/>
      <c r="F405" s="801"/>
      <c r="G405" s="802"/>
      <c r="H405" s="347"/>
      <c r="I405" s="801"/>
      <c r="J405" s="802"/>
      <c r="K405" s="266"/>
      <c r="L405" s="245"/>
    </row>
    <row r="406" spans="2:12" x14ac:dyDescent="0.2">
      <c r="B406" s="805" t="s">
        <v>377</v>
      </c>
      <c r="C406" s="806"/>
      <c r="D406" s="806"/>
      <c r="E406" s="806"/>
      <c r="F406" s="806"/>
      <c r="G406" s="806"/>
      <c r="H406" s="806"/>
      <c r="I406" s="806"/>
      <c r="J406" s="807"/>
      <c r="K406" s="814" t="s">
        <v>378</v>
      </c>
      <c r="L406" s="815"/>
    </row>
    <row r="407" spans="2:12" x14ac:dyDescent="0.2">
      <c r="B407" s="808"/>
      <c r="C407" s="809"/>
      <c r="D407" s="809"/>
      <c r="E407" s="809"/>
      <c r="F407" s="809"/>
      <c r="G407" s="809"/>
      <c r="H407" s="809"/>
      <c r="I407" s="809"/>
      <c r="J407" s="810"/>
      <c r="K407" s="246" t="s">
        <v>379</v>
      </c>
      <c r="L407" s="245"/>
    </row>
    <row r="408" spans="2:12" x14ac:dyDescent="0.2">
      <c r="B408" s="808"/>
      <c r="C408" s="809"/>
      <c r="D408" s="809"/>
      <c r="E408" s="809"/>
      <c r="F408" s="809"/>
      <c r="G408" s="809"/>
      <c r="H408" s="809"/>
      <c r="I408" s="809"/>
      <c r="J408" s="810"/>
      <c r="K408" s="246" t="s">
        <v>380</v>
      </c>
      <c r="L408" s="245"/>
    </row>
    <row r="409" spans="2:12" ht="13.5" thickBot="1" x14ac:dyDescent="0.25">
      <c r="B409" s="811"/>
      <c r="C409" s="812"/>
      <c r="D409" s="812"/>
      <c r="E409" s="812"/>
      <c r="F409" s="812"/>
      <c r="G409" s="812"/>
      <c r="H409" s="812"/>
      <c r="I409" s="812"/>
      <c r="J409" s="813"/>
      <c r="K409" s="247" t="s">
        <v>381</v>
      </c>
      <c r="L409" s="248"/>
    </row>
    <row r="410" spans="2:12" x14ac:dyDescent="0.2">
      <c r="B410" s="362"/>
      <c r="C410" s="360"/>
      <c r="D410" s="360"/>
      <c r="E410" s="360"/>
      <c r="F410" s="360"/>
      <c r="G410" s="360"/>
      <c r="H410" s="360"/>
      <c r="I410" s="360"/>
      <c r="J410" s="360"/>
      <c r="K410" s="361"/>
      <c r="L410" s="363"/>
    </row>
    <row r="411" spans="2:12" x14ac:dyDescent="0.2">
      <c r="B411" s="364"/>
      <c r="C411" s="365"/>
      <c r="D411" s="365"/>
      <c r="E411" s="365"/>
      <c r="F411" s="365"/>
      <c r="G411" s="365"/>
      <c r="H411" s="365"/>
      <c r="I411" s="365"/>
      <c r="J411" s="365"/>
      <c r="K411" s="365"/>
      <c r="L411" s="366"/>
    </row>
    <row r="412" spans="2:12" x14ac:dyDescent="0.2">
      <c r="B412" s="758" t="s">
        <v>382</v>
      </c>
      <c r="C412" s="759"/>
      <c r="D412" s="759"/>
      <c r="E412" s="759"/>
      <c r="F412" s="759"/>
      <c r="G412" s="759"/>
      <c r="H412" s="759"/>
      <c r="I412" s="759"/>
      <c r="J412" s="759"/>
      <c r="K412" s="759"/>
      <c r="L412" s="760"/>
    </row>
    <row r="413" spans="2:12" x14ac:dyDescent="0.2">
      <c r="B413" s="300">
        <v>1</v>
      </c>
      <c r="C413" s="745" t="s">
        <v>457</v>
      </c>
      <c r="D413" s="746"/>
      <c r="E413" s="746"/>
      <c r="F413" s="746"/>
      <c r="G413" s="746"/>
      <c r="H413" s="746"/>
      <c r="I413" s="746"/>
      <c r="J413" s="746"/>
      <c r="K413" s="746"/>
      <c r="L413" s="747"/>
    </row>
    <row r="414" spans="2:12" x14ac:dyDescent="0.2">
      <c r="B414" s="339">
        <v>2</v>
      </c>
      <c r="C414" s="745" t="s">
        <v>433</v>
      </c>
      <c r="D414" s="746"/>
      <c r="E414" s="746"/>
      <c r="F414" s="746"/>
      <c r="G414" s="746"/>
      <c r="H414" s="746"/>
      <c r="I414" s="746"/>
      <c r="J414" s="746"/>
      <c r="K414" s="746"/>
      <c r="L414" s="747"/>
    </row>
    <row r="415" spans="2:12" x14ac:dyDescent="0.2">
      <c r="B415" s="356">
        <v>3</v>
      </c>
      <c r="C415" s="765" t="s">
        <v>451</v>
      </c>
      <c r="D415" s="766"/>
      <c r="E415" s="766"/>
      <c r="F415" s="766"/>
      <c r="G415" s="766"/>
      <c r="H415" s="766"/>
      <c r="I415" s="766"/>
      <c r="J415" s="766"/>
      <c r="K415" s="766"/>
      <c r="L415" s="767"/>
    </row>
    <row r="416" spans="2:12" x14ac:dyDescent="0.2">
      <c r="B416" s="356">
        <v>4</v>
      </c>
      <c r="C416" s="748" t="s">
        <v>452</v>
      </c>
      <c r="D416" s="749"/>
      <c r="E416" s="749"/>
      <c r="F416" s="749"/>
      <c r="G416" s="749"/>
      <c r="H416" s="749"/>
      <c r="I416" s="749"/>
      <c r="J416" s="749"/>
      <c r="K416" s="749"/>
      <c r="L416" s="750"/>
    </row>
    <row r="417" spans="2:12" x14ac:dyDescent="0.2">
      <c r="B417" s="356">
        <v>5</v>
      </c>
      <c r="C417" s="748" t="s">
        <v>453</v>
      </c>
      <c r="D417" s="749"/>
      <c r="E417" s="749"/>
      <c r="F417" s="749"/>
      <c r="G417" s="749"/>
      <c r="H417" s="749"/>
      <c r="I417" s="749"/>
      <c r="J417" s="749"/>
      <c r="K417" s="749"/>
      <c r="L417" s="750"/>
    </row>
    <row r="418" spans="2:12" x14ac:dyDescent="0.2">
      <c r="B418" s="356"/>
      <c r="C418" s="748"/>
      <c r="D418" s="749"/>
      <c r="E418" s="749"/>
      <c r="F418" s="749"/>
      <c r="G418" s="749"/>
      <c r="H418" s="749"/>
      <c r="I418" s="749"/>
      <c r="J418" s="749"/>
      <c r="K418" s="749"/>
      <c r="L418" s="750"/>
    </row>
    <row r="419" spans="2:12" x14ac:dyDescent="0.2">
      <c r="B419" s="300"/>
      <c r="C419" s="748"/>
      <c r="D419" s="749"/>
      <c r="E419" s="749"/>
      <c r="F419" s="749"/>
      <c r="G419" s="749"/>
      <c r="H419" s="749"/>
      <c r="I419" s="749"/>
      <c r="J419" s="749"/>
      <c r="K419" s="749"/>
      <c r="L419" s="750"/>
    </row>
    <row r="420" spans="2:12" x14ac:dyDescent="0.2">
      <c r="B420" s="758" t="s">
        <v>386</v>
      </c>
      <c r="C420" s="759"/>
      <c r="D420" s="759"/>
      <c r="E420" s="759"/>
      <c r="F420" s="759"/>
      <c r="G420" s="759"/>
      <c r="H420" s="759"/>
      <c r="I420" s="759"/>
      <c r="J420" s="759"/>
      <c r="K420" s="759"/>
      <c r="L420" s="760"/>
    </row>
    <row r="421" spans="2:12" x14ac:dyDescent="0.2">
      <c r="B421" s="269"/>
      <c r="C421" s="757"/>
      <c r="D421" s="746"/>
      <c r="E421" s="746"/>
      <c r="F421" s="746"/>
      <c r="G421" s="746"/>
      <c r="H421" s="746"/>
      <c r="I421" s="746"/>
      <c r="J421" s="746"/>
      <c r="K421" s="746"/>
      <c r="L421" s="747"/>
    </row>
    <row r="422" spans="2:12" x14ac:dyDescent="0.2">
      <c r="B422" s="269"/>
      <c r="C422" s="757"/>
      <c r="D422" s="746"/>
      <c r="E422" s="746"/>
      <c r="F422" s="746"/>
      <c r="G422" s="746"/>
      <c r="H422" s="746"/>
      <c r="I422" s="746"/>
      <c r="J422" s="746"/>
      <c r="K422" s="746"/>
      <c r="L422" s="747"/>
    </row>
    <row r="423" spans="2:12" x14ac:dyDescent="0.2">
      <c r="B423" s="269"/>
      <c r="C423" s="757"/>
      <c r="D423" s="746"/>
      <c r="E423" s="746"/>
      <c r="F423" s="746"/>
      <c r="G423" s="746"/>
      <c r="H423" s="746"/>
      <c r="I423" s="746"/>
      <c r="J423" s="746"/>
      <c r="K423" s="746"/>
      <c r="L423" s="747"/>
    </row>
    <row r="424" spans="2:12" x14ac:dyDescent="0.2">
      <c r="B424" s="758" t="s">
        <v>387</v>
      </c>
      <c r="C424" s="759"/>
      <c r="D424" s="759"/>
      <c r="E424" s="759"/>
      <c r="F424" s="759"/>
      <c r="G424" s="759"/>
      <c r="H424" s="759"/>
      <c r="I424" s="759"/>
      <c r="J424" s="759"/>
      <c r="K424" s="759"/>
      <c r="L424" s="760"/>
    </row>
    <row r="425" spans="2:12" x14ac:dyDescent="0.2">
      <c r="B425" s="269">
        <v>1</v>
      </c>
      <c r="C425" s="745" t="s">
        <v>464</v>
      </c>
      <c r="D425" s="746"/>
      <c r="E425" s="746"/>
      <c r="F425" s="746"/>
      <c r="G425" s="746"/>
      <c r="H425" s="746"/>
      <c r="I425" s="746"/>
      <c r="J425" s="746"/>
      <c r="K425" s="746"/>
      <c r="L425" s="747"/>
    </row>
    <row r="426" spans="2:12" x14ac:dyDescent="0.2">
      <c r="B426" s="269">
        <v>2</v>
      </c>
      <c r="C426" s="745" t="s">
        <v>465</v>
      </c>
      <c r="D426" s="746"/>
      <c r="E426" s="746"/>
      <c r="F426" s="746"/>
      <c r="G426" s="746"/>
      <c r="H426" s="746"/>
      <c r="I426" s="746"/>
      <c r="J426" s="746"/>
      <c r="K426" s="746"/>
      <c r="L426" s="747"/>
    </row>
    <row r="427" spans="2:12" x14ac:dyDescent="0.2">
      <c r="B427" s="368" t="s">
        <v>418</v>
      </c>
      <c r="C427" s="745" t="s">
        <v>466</v>
      </c>
      <c r="D427" s="746"/>
      <c r="E427" s="746"/>
      <c r="F427" s="746"/>
      <c r="G427" s="746"/>
      <c r="H427" s="746"/>
      <c r="I427" s="746"/>
      <c r="J427" s="746"/>
      <c r="K427" s="746"/>
      <c r="L427" s="747"/>
    </row>
    <row r="428" spans="2:12" x14ac:dyDescent="0.2">
      <c r="B428" s="761" t="s">
        <v>383</v>
      </c>
      <c r="C428" s="762"/>
      <c r="D428" s="762"/>
      <c r="E428" s="762"/>
      <c r="F428" s="762"/>
      <c r="G428" s="762"/>
      <c r="H428" s="762"/>
      <c r="I428" s="762"/>
      <c r="J428" s="762"/>
      <c r="K428" s="762"/>
      <c r="L428" s="763"/>
    </row>
    <row r="429" spans="2:12" x14ac:dyDescent="0.2">
      <c r="B429" s="764" t="s">
        <v>446</v>
      </c>
      <c r="C429" s="746"/>
      <c r="D429" s="746"/>
      <c r="E429" s="746"/>
      <c r="F429" s="746"/>
      <c r="G429" s="746"/>
      <c r="H429" s="746"/>
      <c r="I429" s="746"/>
      <c r="J429" s="746"/>
      <c r="K429" s="746"/>
      <c r="L429" s="747"/>
    </row>
    <row r="430" spans="2:12" x14ac:dyDescent="0.2">
      <c r="B430" s="764"/>
      <c r="C430" s="746"/>
      <c r="D430" s="746"/>
      <c r="E430" s="746"/>
      <c r="F430" s="746"/>
      <c r="G430" s="746"/>
      <c r="H430" s="746"/>
      <c r="I430" s="746"/>
      <c r="J430" s="746"/>
      <c r="K430" s="746"/>
      <c r="L430" s="747"/>
    </row>
    <row r="431" spans="2:12" x14ac:dyDescent="0.2">
      <c r="B431" s="764"/>
      <c r="C431" s="746"/>
      <c r="D431" s="746"/>
      <c r="E431" s="746"/>
      <c r="F431" s="746"/>
      <c r="G431" s="746"/>
      <c r="H431" s="746"/>
      <c r="I431" s="746"/>
      <c r="J431" s="746"/>
      <c r="K431" s="746"/>
      <c r="L431" s="747"/>
    </row>
    <row r="432" spans="2:12" x14ac:dyDescent="0.2">
      <c r="B432" s="764"/>
      <c r="C432" s="746"/>
      <c r="D432" s="746"/>
      <c r="E432" s="746"/>
      <c r="F432" s="746"/>
      <c r="G432" s="746"/>
      <c r="H432" s="746"/>
      <c r="I432" s="746"/>
      <c r="J432" s="746"/>
      <c r="K432" s="746"/>
      <c r="L432" s="747"/>
    </row>
    <row r="433" spans="2:12" x14ac:dyDescent="0.2">
      <c r="B433" s="768"/>
      <c r="C433" s="769"/>
      <c r="D433" s="769"/>
      <c r="E433" s="769"/>
      <c r="F433" s="769"/>
      <c r="G433" s="342"/>
      <c r="H433" s="769"/>
      <c r="I433" s="769"/>
      <c r="J433" s="769"/>
      <c r="K433" s="769"/>
      <c r="L433" s="774"/>
    </row>
    <row r="434" spans="2:12" x14ac:dyDescent="0.2">
      <c r="B434" s="770"/>
      <c r="C434" s="771"/>
      <c r="D434" s="771"/>
      <c r="E434" s="771"/>
      <c r="F434" s="771"/>
      <c r="G434" s="343"/>
      <c r="H434" s="771"/>
      <c r="I434" s="771"/>
      <c r="J434" s="771"/>
      <c r="K434" s="771"/>
      <c r="L434" s="775"/>
    </row>
    <row r="435" spans="2:12" x14ac:dyDescent="0.2">
      <c r="B435" s="770"/>
      <c r="C435" s="771"/>
      <c r="D435" s="771"/>
      <c r="E435" s="771"/>
      <c r="F435" s="771"/>
      <c r="G435" s="343"/>
      <c r="H435" s="771"/>
      <c r="I435" s="771"/>
      <c r="J435" s="771"/>
      <c r="K435" s="771"/>
      <c r="L435" s="775"/>
    </row>
    <row r="436" spans="2:12" x14ac:dyDescent="0.2">
      <c r="B436" s="772"/>
      <c r="C436" s="773"/>
      <c r="D436" s="773"/>
      <c r="E436" s="773"/>
      <c r="F436" s="773"/>
      <c r="G436" s="344"/>
      <c r="H436" s="773"/>
      <c r="I436" s="773"/>
      <c r="J436" s="773"/>
      <c r="K436" s="773"/>
      <c r="L436" s="776"/>
    </row>
    <row r="437" spans="2:12" ht="13.5" thickBot="1" x14ac:dyDescent="0.25">
      <c r="B437" s="751" t="s">
        <v>384</v>
      </c>
      <c r="C437" s="752"/>
      <c r="D437" s="752"/>
      <c r="E437" s="752"/>
      <c r="F437" s="752"/>
      <c r="G437" s="345"/>
      <c r="H437" s="752" t="s">
        <v>385</v>
      </c>
      <c r="I437" s="752"/>
      <c r="J437" s="752"/>
      <c r="K437" s="752"/>
      <c r="L437" s="753"/>
    </row>
    <row r="439" spans="2:12" ht="13.5" thickBot="1" x14ac:dyDescent="0.25"/>
    <row r="440" spans="2:12" ht="23.25" x14ac:dyDescent="0.2">
      <c r="B440" s="862" t="s">
        <v>336</v>
      </c>
      <c r="C440" s="863"/>
      <c r="D440" s="863"/>
      <c r="E440" s="863"/>
      <c r="F440" s="863"/>
      <c r="G440" s="863"/>
      <c r="H440" s="863"/>
      <c r="I440" s="863"/>
      <c r="J440" s="863"/>
      <c r="K440" s="863"/>
      <c r="L440" s="864"/>
    </row>
    <row r="441" spans="2:12" ht="20.25" x14ac:dyDescent="0.2">
      <c r="B441" s="20"/>
      <c r="C441" s="21"/>
      <c r="D441" s="210"/>
      <c r="E441" s="210"/>
      <c r="F441" s="210"/>
      <c r="G441" s="210"/>
      <c r="H441" s="210"/>
      <c r="I441" s="210"/>
      <c r="J441" s="210"/>
      <c r="K441" s="211" t="str">
        <f>("DATA ATUAL:"&amp;"    "&amp;UPPER(LEFT(TEXT(L441,"DDDD"),7)))</f>
        <v>DATA ATUAL:    SEGUNDA</v>
      </c>
      <c r="L441" s="253">
        <v>44676</v>
      </c>
    </row>
    <row r="442" spans="2:12" ht="20.25" x14ac:dyDescent="0.2">
      <c r="B442" s="20"/>
      <c r="C442" s="21"/>
      <c r="D442" s="212"/>
      <c r="E442" s="212"/>
      <c r="F442" s="212"/>
      <c r="G442" s="212"/>
      <c r="H442" s="212"/>
      <c r="I442" s="212"/>
      <c r="J442" s="212"/>
      <c r="K442" s="211" t="s">
        <v>337</v>
      </c>
      <c r="L442" s="359">
        <v>6</v>
      </c>
    </row>
    <row r="443" spans="2:12" ht="20.25" x14ac:dyDescent="0.2">
      <c r="B443" s="20"/>
      <c r="C443" s="21"/>
      <c r="D443" s="865" t="s">
        <v>338</v>
      </c>
      <c r="E443" s="865"/>
      <c r="F443" s="865"/>
      <c r="G443" s="865"/>
      <c r="H443" s="865"/>
      <c r="I443" s="865"/>
      <c r="J443" s="212"/>
      <c r="K443" s="211" t="s">
        <v>339</v>
      </c>
      <c r="L443" s="255">
        <f>IFERROR(IF(AND(L448&gt;0,L447&gt;0),L448-L447,0),"")</f>
        <v>31</v>
      </c>
    </row>
    <row r="444" spans="2:12" x14ac:dyDescent="0.2">
      <c r="B444" s="20"/>
      <c r="C444" s="21"/>
      <c r="D444" s="866" t="s">
        <v>340</v>
      </c>
      <c r="E444" s="866"/>
      <c r="F444" s="866"/>
      <c r="G444" s="866"/>
      <c r="H444" s="866"/>
      <c r="I444" s="866"/>
      <c r="J444" s="213"/>
      <c r="K444" s="211" t="s">
        <v>341</v>
      </c>
      <c r="L444" s="255">
        <f>IF(OR(AND(K492&lt;&gt;"",K493&lt;&gt;"",K494&lt;&gt;""),AND(D488&lt;&gt;"",F488&lt;&gt;"")),IF(L447&gt;0,NETWORKDAYS.INTL(L447,L441,11),0),IF(L447&gt;0,NETWORKDAYS.INTL(L447,L441,11),0))</f>
        <v>6</v>
      </c>
    </row>
    <row r="445" spans="2:12" x14ac:dyDescent="0.2">
      <c r="B445" s="20"/>
      <c r="C445" s="21"/>
      <c r="D445" s="867" t="s">
        <v>342</v>
      </c>
      <c r="E445" s="867"/>
      <c r="F445" s="867"/>
      <c r="G445" s="867"/>
      <c r="H445" s="867"/>
      <c r="I445" s="867"/>
      <c r="J445" s="214"/>
      <c r="K445" s="211" t="s">
        <v>343</v>
      </c>
      <c r="L445" s="255">
        <f>IFERROR(L443-L444,"")</f>
        <v>25</v>
      </c>
    </row>
    <row r="446" spans="2:12" x14ac:dyDescent="0.2">
      <c r="B446" s="758" t="s">
        <v>344</v>
      </c>
      <c r="C446" s="759"/>
      <c r="D446" s="759"/>
      <c r="E446" s="759"/>
      <c r="F446" s="759"/>
      <c r="G446" s="759"/>
      <c r="H446" s="759"/>
      <c r="I446" s="759"/>
      <c r="J446" s="759"/>
      <c r="K446" s="759"/>
      <c r="L446" s="760"/>
    </row>
    <row r="447" spans="2:12" x14ac:dyDescent="0.2">
      <c r="B447" s="868" t="s">
        <v>345</v>
      </c>
      <c r="C447" s="852"/>
      <c r="D447" s="852" t="s">
        <v>404</v>
      </c>
      <c r="E447" s="852"/>
      <c r="F447" s="852"/>
      <c r="G447" s="852"/>
      <c r="H447" s="852"/>
      <c r="I447" s="852"/>
      <c r="J447" s="852"/>
      <c r="K447" s="216" t="s">
        <v>346</v>
      </c>
      <c r="L447" s="217">
        <v>44670</v>
      </c>
    </row>
    <row r="448" spans="2:12" x14ac:dyDescent="0.2">
      <c r="B448" s="410" t="s">
        <v>347</v>
      </c>
      <c r="C448" s="852"/>
      <c r="D448" s="852"/>
      <c r="E448" s="852"/>
      <c r="F448" s="852"/>
      <c r="G448" s="852"/>
      <c r="H448" s="852"/>
      <c r="I448" s="852"/>
      <c r="J448" s="852"/>
      <c r="K448" s="216" t="s">
        <v>348</v>
      </c>
      <c r="L448" s="217">
        <v>44701</v>
      </c>
    </row>
    <row r="449" spans="2:12" x14ac:dyDescent="0.2">
      <c r="B449" s="868" t="s">
        <v>349</v>
      </c>
      <c r="C449" s="852"/>
      <c r="D449" s="852" t="s">
        <v>405</v>
      </c>
      <c r="E449" s="852"/>
      <c r="F449" s="852"/>
      <c r="G449" s="852"/>
      <c r="H449" s="852"/>
      <c r="I449" s="852"/>
      <c r="J449" s="852"/>
      <c r="K449" s="852"/>
      <c r="L449" s="853"/>
    </row>
    <row r="450" spans="2:12" x14ac:dyDescent="0.2">
      <c r="B450" s="868" t="s">
        <v>350</v>
      </c>
      <c r="C450" s="869"/>
      <c r="D450" s="869"/>
      <c r="E450" s="852" t="s">
        <v>402</v>
      </c>
      <c r="F450" s="852"/>
      <c r="G450" s="852"/>
      <c r="H450" s="852"/>
      <c r="I450" s="852"/>
      <c r="J450" s="852"/>
      <c r="K450" s="852"/>
      <c r="L450" s="853"/>
    </row>
    <row r="451" spans="2:12" x14ac:dyDescent="0.2">
      <c r="B451" s="410" t="s">
        <v>351</v>
      </c>
      <c r="C451" s="411"/>
      <c r="D451" s="870"/>
      <c r="E451" s="870"/>
      <c r="F451" s="870"/>
      <c r="G451" s="870"/>
      <c r="H451" s="870"/>
      <c r="I451" s="870"/>
      <c r="J451" s="870"/>
      <c r="K451" s="870"/>
      <c r="L451" s="871"/>
    </row>
    <row r="452" spans="2:12" x14ac:dyDescent="0.2">
      <c r="B452" s="758" t="s">
        <v>352</v>
      </c>
      <c r="C452" s="759"/>
      <c r="D452" s="759"/>
      <c r="E452" s="759"/>
      <c r="F452" s="759"/>
      <c r="G452" s="759"/>
      <c r="H452" s="759"/>
      <c r="I452" s="759"/>
      <c r="J452" s="759"/>
      <c r="K452" s="759"/>
      <c r="L452" s="760"/>
    </row>
    <row r="453" spans="2:12" x14ac:dyDescent="0.2">
      <c r="B453" s="868" t="s">
        <v>353</v>
      </c>
      <c r="C453" s="869"/>
      <c r="D453" s="869"/>
      <c r="E453" s="852"/>
      <c r="F453" s="852"/>
      <c r="G453" s="852"/>
      <c r="H453" s="852"/>
      <c r="I453" s="852"/>
      <c r="J453" s="852"/>
      <c r="K453" s="852"/>
      <c r="L453" s="853"/>
    </row>
    <row r="454" spans="2:12" x14ac:dyDescent="0.2">
      <c r="B454" s="219" t="s">
        <v>321</v>
      </c>
      <c r="C454" s="852"/>
      <c r="D454" s="852"/>
      <c r="E454" s="852"/>
      <c r="F454" s="852"/>
      <c r="G454" s="852"/>
      <c r="H454" s="852"/>
      <c r="I454" s="852"/>
      <c r="J454" s="852"/>
      <c r="K454" s="852"/>
      <c r="L454" s="853"/>
    </row>
    <row r="455" spans="2:12" x14ac:dyDescent="0.2">
      <c r="B455" s="219" t="s">
        <v>351</v>
      </c>
      <c r="C455" s="852"/>
      <c r="D455" s="852"/>
      <c r="E455" s="852"/>
      <c r="F455" s="852"/>
      <c r="G455" s="852"/>
      <c r="H455" s="852"/>
      <c r="I455" s="852"/>
      <c r="J455" s="852"/>
      <c r="K455" s="852"/>
      <c r="L455" s="853"/>
    </row>
    <row r="456" spans="2:12" x14ac:dyDescent="0.2">
      <c r="B456" s="219" t="s">
        <v>354</v>
      </c>
      <c r="C456" s="852"/>
      <c r="D456" s="852"/>
      <c r="E456" s="852"/>
      <c r="F456" s="852"/>
      <c r="G456" s="852"/>
      <c r="H456" s="852"/>
      <c r="I456" s="852"/>
      <c r="J456" s="852"/>
      <c r="K456" s="852"/>
      <c r="L456" s="853"/>
    </row>
    <row r="457" spans="2:12" x14ac:dyDescent="0.2">
      <c r="B457" s="758" t="s">
        <v>355</v>
      </c>
      <c r="C457" s="759"/>
      <c r="D457" s="759"/>
      <c r="E457" s="759"/>
      <c r="F457" s="759"/>
      <c r="G457" s="759"/>
      <c r="H457" s="759"/>
      <c r="I457" s="759"/>
      <c r="J457" s="759"/>
      <c r="K457" s="759"/>
      <c r="L457" s="760"/>
    </row>
    <row r="458" spans="2:12" x14ac:dyDescent="0.2">
      <c r="B458" s="803" t="s">
        <v>356</v>
      </c>
      <c r="C458" s="782"/>
      <c r="D458" s="782"/>
      <c r="E458" s="782"/>
      <c r="F458" s="782"/>
      <c r="G458" s="782"/>
      <c r="H458" s="782"/>
      <c r="I458" s="782"/>
      <c r="J458" s="782"/>
      <c r="K458" s="782"/>
      <c r="L458" s="804"/>
    </row>
    <row r="459" spans="2:12" x14ac:dyDescent="0.2">
      <c r="B459" s="854" t="s">
        <v>357</v>
      </c>
      <c r="C459" s="824"/>
      <c r="D459" s="825"/>
      <c r="E459" s="840" t="s">
        <v>358</v>
      </c>
      <c r="F459" s="841"/>
      <c r="G459" s="841"/>
      <c r="H459" s="841"/>
      <c r="I459" s="841"/>
      <c r="J459" s="841"/>
      <c r="K459" s="842"/>
      <c r="L459" s="855" t="s">
        <v>359</v>
      </c>
    </row>
    <row r="460" spans="2:12" x14ac:dyDescent="0.2">
      <c r="B460" s="854"/>
      <c r="C460" s="824"/>
      <c r="D460" s="825"/>
      <c r="E460" s="843"/>
      <c r="F460" s="844"/>
      <c r="G460" s="844"/>
      <c r="H460" s="844"/>
      <c r="I460" s="844"/>
      <c r="J460" s="844"/>
      <c r="K460" s="845"/>
      <c r="L460" s="856"/>
    </row>
    <row r="461" spans="2:12" x14ac:dyDescent="0.2">
      <c r="B461" s="857" t="s">
        <v>400</v>
      </c>
      <c r="C461" s="746"/>
      <c r="D461" s="858"/>
      <c r="E461" s="748" t="s">
        <v>412</v>
      </c>
      <c r="F461" s="859"/>
      <c r="G461" s="859"/>
      <c r="H461" s="859"/>
      <c r="I461" s="859"/>
      <c r="J461" s="859"/>
      <c r="K461" s="858"/>
      <c r="L461" s="220">
        <v>2</v>
      </c>
    </row>
    <row r="462" spans="2:12" x14ac:dyDescent="0.2">
      <c r="B462" s="764" t="s">
        <v>416</v>
      </c>
      <c r="C462" s="746"/>
      <c r="D462" s="858"/>
      <c r="E462" s="860" t="s">
        <v>417</v>
      </c>
      <c r="F462" s="859"/>
      <c r="G462" s="859"/>
      <c r="H462" s="859"/>
      <c r="I462" s="859"/>
      <c r="J462" s="859"/>
      <c r="K462" s="858"/>
      <c r="L462" s="220">
        <v>1</v>
      </c>
    </row>
    <row r="463" spans="2:12" x14ac:dyDescent="0.2">
      <c r="B463" s="764" t="s">
        <v>411</v>
      </c>
      <c r="C463" s="859"/>
      <c r="D463" s="858"/>
      <c r="E463" s="860" t="s">
        <v>413</v>
      </c>
      <c r="F463" s="859"/>
      <c r="G463" s="859"/>
      <c r="H463" s="859"/>
      <c r="I463" s="859"/>
      <c r="J463" s="859"/>
      <c r="K463" s="858"/>
      <c r="L463" s="221">
        <v>1</v>
      </c>
    </row>
    <row r="464" spans="2:12" x14ac:dyDescent="0.2">
      <c r="B464" s="764"/>
      <c r="C464" s="859"/>
      <c r="D464" s="858"/>
      <c r="E464" s="860"/>
      <c r="F464" s="859"/>
      <c r="G464" s="859"/>
      <c r="H464" s="859"/>
      <c r="I464" s="859"/>
      <c r="J464" s="859"/>
      <c r="K464" s="858"/>
      <c r="L464" s="221"/>
    </row>
    <row r="465" spans="2:12" x14ac:dyDescent="0.2">
      <c r="B465" s="777" t="s">
        <v>360</v>
      </c>
      <c r="C465" s="861"/>
      <c r="D465" s="861"/>
      <c r="E465" s="861"/>
      <c r="F465" s="861"/>
      <c r="G465" s="861"/>
      <c r="H465" s="861"/>
      <c r="I465" s="861"/>
      <c r="J465" s="861"/>
      <c r="K465" s="779"/>
      <c r="L465" s="224">
        <f>SUM(L461:L464)</f>
        <v>4</v>
      </c>
    </row>
    <row r="466" spans="2:12" x14ac:dyDescent="0.2">
      <c r="B466" s="803" t="s">
        <v>361</v>
      </c>
      <c r="C466" s="782"/>
      <c r="D466" s="782"/>
      <c r="E466" s="782"/>
      <c r="F466" s="782"/>
      <c r="G466" s="782"/>
      <c r="H466" s="782"/>
      <c r="I466" s="782"/>
      <c r="J466" s="782"/>
      <c r="K466" s="782"/>
      <c r="L466" s="804"/>
    </row>
    <row r="467" spans="2:12" x14ac:dyDescent="0.2">
      <c r="B467" s="834" t="s">
        <v>362</v>
      </c>
      <c r="C467" s="840" t="s">
        <v>357</v>
      </c>
      <c r="D467" s="842"/>
      <c r="E467" s="840" t="s">
        <v>358</v>
      </c>
      <c r="F467" s="841"/>
      <c r="G467" s="841"/>
      <c r="H467" s="841"/>
      <c r="I467" s="841"/>
      <c r="J467" s="841"/>
      <c r="K467" s="842"/>
      <c r="L467" s="816" t="s">
        <v>359</v>
      </c>
    </row>
    <row r="468" spans="2:12" x14ac:dyDescent="0.2">
      <c r="B468" s="835"/>
      <c r="C468" s="843"/>
      <c r="D468" s="845"/>
      <c r="E468" s="843"/>
      <c r="F468" s="844"/>
      <c r="G468" s="844"/>
      <c r="H468" s="844"/>
      <c r="I468" s="844"/>
      <c r="J468" s="844"/>
      <c r="K468" s="845"/>
      <c r="L468" s="817"/>
    </row>
    <row r="469" spans="2:12" x14ac:dyDescent="0.2">
      <c r="B469" s="408"/>
      <c r="C469" s="818"/>
      <c r="D469" s="819"/>
      <c r="E469" s="820"/>
      <c r="F469" s="821"/>
      <c r="G469" s="821"/>
      <c r="H469" s="821"/>
      <c r="I469" s="821"/>
      <c r="J469" s="821"/>
      <c r="K469" s="822"/>
      <c r="L469" s="409"/>
    </row>
    <row r="470" spans="2:12" x14ac:dyDescent="0.2">
      <c r="B470" s="408"/>
      <c r="C470" s="818"/>
      <c r="D470" s="819"/>
      <c r="E470" s="820"/>
      <c r="F470" s="821"/>
      <c r="G470" s="821"/>
      <c r="H470" s="821"/>
      <c r="I470" s="821"/>
      <c r="J470" s="821"/>
      <c r="K470" s="822"/>
      <c r="L470" s="409"/>
    </row>
    <row r="471" spans="2:12" x14ac:dyDescent="0.2">
      <c r="B471" s="408"/>
      <c r="C471" s="818"/>
      <c r="D471" s="819"/>
      <c r="E471" s="823"/>
      <c r="F471" s="824"/>
      <c r="G471" s="824"/>
      <c r="H471" s="824"/>
      <c r="I471" s="824"/>
      <c r="J471" s="824"/>
      <c r="K471" s="825"/>
      <c r="L471" s="409"/>
    </row>
    <row r="472" spans="2:12" x14ac:dyDescent="0.2">
      <c r="B472" s="408"/>
      <c r="C472" s="818"/>
      <c r="D472" s="819"/>
      <c r="E472" s="823"/>
      <c r="F472" s="824"/>
      <c r="G472" s="824"/>
      <c r="H472" s="824"/>
      <c r="I472" s="824"/>
      <c r="J472" s="824"/>
      <c r="K472" s="825"/>
      <c r="L472" s="409"/>
    </row>
    <row r="473" spans="2:12" x14ac:dyDescent="0.2">
      <c r="B473" s="408"/>
      <c r="C473" s="818"/>
      <c r="D473" s="819"/>
      <c r="E473" s="823"/>
      <c r="F473" s="824"/>
      <c r="G473" s="824"/>
      <c r="H473" s="824"/>
      <c r="I473" s="824"/>
      <c r="J473" s="824"/>
      <c r="K473" s="825"/>
      <c r="L473" s="409"/>
    </row>
    <row r="474" spans="2:12" x14ac:dyDescent="0.2">
      <c r="B474" s="826" t="s">
        <v>360</v>
      </c>
      <c r="C474" s="827"/>
      <c r="D474" s="827"/>
      <c r="E474" s="827"/>
      <c r="F474" s="827"/>
      <c r="G474" s="827"/>
      <c r="H474" s="827"/>
      <c r="I474" s="827"/>
      <c r="J474" s="827"/>
      <c r="K474" s="828"/>
      <c r="L474" s="227">
        <f>SUM(L469:L473)</f>
        <v>0</v>
      </c>
    </row>
    <row r="475" spans="2:12" x14ac:dyDescent="0.2">
      <c r="B475" s="829" t="s">
        <v>406</v>
      </c>
      <c r="C475" s="830"/>
      <c r="D475" s="830"/>
      <c r="E475" s="830"/>
      <c r="F475" s="830"/>
      <c r="G475" s="830"/>
      <c r="H475" s="830"/>
      <c r="I475" s="830"/>
      <c r="J475" s="830"/>
      <c r="K475" s="831"/>
      <c r="L475" s="228">
        <f>L474+L465</f>
        <v>4</v>
      </c>
    </row>
    <row r="476" spans="2:12" x14ac:dyDescent="0.2">
      <c r="B476" s="758" t="s">
        <v>215</v>
      </c>
      <c r="C476" s="759"/>
      <c r="D476" s="759"/>
      <c r="E476" s="759"/>
      <c r="F476" s="759"/>
      <c r="G476" s="759"/>
      <c r="H476" s="759"/>
      <c r="I476" s="759"/>
      <c r="J476" s="759"/>
      <c r="K476" s="759"/>
      <c r="L476" s="760"/>
    </row>
    <row r="477" spans="2:12" x14ac:dyDescent="0.2">
      <c r="B477" s="803" t="s">
        <v>363</v>
      </c>
      <c r="C477" s="782"/>
      <c r="D477" s="782"/>
      <c r="E477" s="782"/>
      <c r="F477" s="782"/>
      <c r="G477" s="782"/>
      <c r="H477" s="782"/>
      <c r="I477" s="782"/>
      <c r="J477" s="803" t="s">
        <v>364</v>
      </c>
      <c r="K477" s="782"/>
      <c r="L477" s="804"/>
    </row>
    <row r="478" spans="2:12" x14ac:dyDescent="0.2">
      <c r="B478" s="834" t="s">
        <v>362</v>
      </c>
      <c r="C478" s="836" t="s">
        <v>29</v>
      </c>
      <c r="D478" s="837"/>
      <c r="E478" s="840" t="s">
        <v>1</v>
      </c>
      <c r="F478" s="841"/>
      <c r="G478" s="841"/>
      <c r="H478" s="842"/>
      <c r="I478" s="846" t="s">
        <v>359</v>
      </c>
      <c r="J478" s="848" t="s">
        <v>29</v>
      </c>
      <c r="K478" s="850" t="s">
        <v>1</v>
      </c>
      <c r="L478" s="846" t="s">
        <v>365</v>
      </c>
    </row>
    <row r="479" spans="2:12" x14ac:dyDescent="0.2">
      <c r="B479" s="835"/>
      <c r="C479" s="838"/>
      <c r="D479" s="839"/>
      <c r="E479" s="843"/>
      <c r="F479" s="844"/>
      <c r="G479" s="844"/>
      <c r="H479" s="845"/>
      <c r="I479" s="847"/>
      <c r="J479" s="849"/>
      <c r="K479" s="851"/>
      <c r="L479" s="847"/>
    </row>
    <row r="480" spans="2:12" x14ac:dyDescent="0.2">
      <c r="B480" s="229"/>
      <c r="C480" s="832"/>
      <c r="D480" s="822"/>
      <c r="E480" s="832"/>
      <c r="F480" s="833"/>
      <c r="G480" s="833"/>
      <c r="H480" s="822"/>
      <c r="I480" s="231"/>
      <c r="J480" s="407" t="s">
        <v>478</v>
      </c>
      <c r="K480" s="403" t="s">
        <v>477</v>
      </c>
      <c r="L480" s="221">
        <v>1</v>
      </c>
    </row>
    <row r="481" spans="2:12" x14ac:dyDescent="0.2">
      <c r="B481" s="229"/>
      <c r="C481" s="832"/>
      <c r="D481" s="822"/>
      <c r="E481" s="832"/>
      <c r="F481" s="833"/>
      <c r="G481" s="833"/>
      <c r="H481" s="822"/>
      <c r="I481" s="234"/>
      <c r="J481" s="235" t="s">
        <v>481</v>
      </c>
      <c r="K481" s="236" t="s">
        <v>482</v>
      </c>
      <c r="L481" s="237">
        <v>1</v>
      </c>
    </row>
    <row r="482" spans="2:12" x14ac:dyDescent="0.2">
      <c r="B482" s="229"/>
      <c r="C482" s="832"/>
      <c r="D482" s="822"/>
      <c r="E482" s="832"/>
      <c r="F482" s="833"/>
      <c r="G482" s="833"/>
      <c r="H482" s="822"/>
      <c r="I482" s="239"/>
      <c r="J482" s="230"/>
      <c r="K482" s="238"/>
      <c r="L482" s="220"/>
    </row>
    <row r="483" spans="2:12" x14ac:dyDescent="0.2">
      <c r="B483" s="777" t="s">
        <v>366</v>
      </c>
      <c r="C483" s="778"/>
      <c r="D483" s="778"/>
      <c r="E483" s="778"/>
      <c r="F483" s="778"/>
      <c r="G483" s="778"/>
      <c r="H483" s="779"/>
      <c r="I483" s="252">
        <f>SUM(I480:I482)</f>
        <v>0</v>
      </c>
      <c r="J483" s="780" t="s">
        <v>366</v>
      </c>
      <c r="K483" s="781"/>
      <c r="L483" s="240">
        <f>SUM(L480:L482)</f>
        <v>2</v>
      </c>
    </row>
    <row r="484" spans="2:12" x14ac:dyDescent="0.2">
      <c r="B484" s="777" t="s">
        <v>27</v>
      </c>
      <c r="C484" s="778"/>
      <c r="D484" s="778"/>
      <c r="E484" s="778"/>
      <c r="F484" s="778"/>
      <c r="G484" s="778"/>
      <c r="H484" s="778"/>
      <c r="I484" s="778"/>
      <c r="J484" s="778"/>
      <c r="K484" s="779"/>
      <c r="L484" s="240">
        <f>L483+I483</f>
        <v>2</v>
      </c>
    </row>
    <row r="485" spans="2:12" x14ac:dyDescent="0.2">
      <c r="B485" s="758" t="s">
        <v>388</v>
      </c>
      <c r="C485" s="759"/>
      <c r="D485" s="759"/>
      <c r="E485" s="759"/>
      <c r="F485" s="759"/>
      <c r="G485" s="759"/>
      <c r="H485" s="759"/>
      <c r="I485" s="759"/>
      <c r="J485" s="759"/>
      <c r="K485" s="759"/>
      <c r="L485" s="760"/>
    </row>
    <row r="486" spans="2:12" x14ac:dyDescent="0.2">
      <c r="B486" s="803" t="s">
        <v>368</v>
      </c>
      <c r="C486" s="782"/>
      <c r="D486" s="804"/>
      <c r="E486" s="782" t="s">
        <v>394</v>
      </c>
      <c r="F486" s="782"/>
      <c r="G486" s="783" t="s">
        <v>389</v>
      </c>
      <c r="H486" s="784"/>
      <c r="I486" s="784"/>
      <c r="J486" s="784"/>
      <c r="K486" s="784"/>
      <c r="L486" s="785"/>
    </row>
    <row r="487" spans="2:12" x14ac:dyDescent="0.2">
      <c r="B487" s="786" t="s">
        <v>393</v>
      </c>
      <c r="C487" s="787"/>
      <c r="D487" s="265" t="s">
        <v>390</v>
      </c>
      <c r="E487" s="405" t="s">
        <v>391</v>
      </c>
      <c r="F487" s="264" t="s">
        <v>392</v>
      </c>
      <c r="G487" s="404"/>
      <c r="H487" s="405"/>
      <c r="I487" s="405"/>
      <c r="J487" s="405"/>
      <c r="K487" s="405"/>
      <c r="L487" s="406"/>
    </row>
    <row r="488" spans="2:12" x14ac:dyDescent="0.2">
      <c r="B488" s="324"/>
      <c r="C488" s="324"/>
      <c r="D488" s="788"/>
      <c r="E488" s="268"/>
      <c r="F488" s="790"/>
      <c r="G488" s="783"/>
      <c r="H488" s="784"/>
      <c r="I488" s="784"/>
      <c r="J488" s="784"/>
      <c r="K488" s="784"/>
      <c r="L488" s="785"/>
    </row>
    <row r="489" spans="2:12" x14ac:dyDescent="0.2">
      <c r="B489" s="324"/>
      <c r="C489" s="324"/>
      <c r="D489" s="789"/>
      <c r="E489" s="268"/>
      <c r="F489" s="791"/>
      <c r="G489" s="783"/>
      <c r="H489" s="784"/>
      <c r="I489" s="784"/>
      <c r="J489" s="784"/>
      <c r="K489" s="784"/>
      <c r="L489" s="785"/>
    </row>
    <row r="490" spans="2:12" x14ac:dyDescent="0.2">
      <c r="B490" s="792" t="s">
        <v>367</v>
      </c>
      <c r="C490" s="793"/>
      <c r="D490" s="793"/>
      <c r="E490" s="793"/>
      <c r="F490" s="793"/>
      <c r="G490" s="793"/>
      <c r="H490" s="793"/>
      <c r="I490" s="793"/>
      <c r="J490" s="793"/>
      <c r="K490" s="793"/>
      <c r="L490" s="794"/>
    </row>
    <row r="491" spans="2:12" ht="25.5" x14ac:dyDescent="0.2">
      <c r="B491" s="263" t="s">
        <v>368</v>
      </c>
      <c r="C491" s="795" t="s">
        <v>369</v>
      </c>
      <c r="D491" s="796"/>
      <c r="E491" s="797"/>
      <c r="F491" s="795" t="s">
        <v>370</v>
      </c>
      <c r="G491" s="796"/>
      <c r="H491" s="797"/>
      <c r="I491" s="795" t="s">
        <v>371</v>
      </c>
      <c r="J491" s="797"/>
      <c r="K491" s="241" t="s">
        <v>372</v>
      </c>
      <c r="L491" s="242" t="s">
        <v>373</v>
      </c>
    </row>
    <row r="492" spans="2:12" x14ac:dyDescent="0.2">
      <c r="B492" s="243" t="s">
        <v>374</v>
      </c>
      <c r="C492" s="798" t="s">
        <v>407</v>
      </c>
      <c r="D492" s="799"/>
      <c r="E492" s="800"/>
      <c r="F492" s="801"/>
      <c r="G492" s="802"/>
      <c r="H492" s="402"/>
      <c r="I492" s="801"/>
      <c r="J492" s="802"/>
      <c r="K492" s="266"/>
      <c r="L492" s="245"/>
    </row>
    <row r="493" spans="2:12" x14ac:dyDescent="0.2">
      <c r="B493" s="243" t="s">
        <v>375</v>
      </c>
      <c r="C493" s="798" t="s">
        <v>407</v>
      </c>
      <c r="D493" s="799"/>
      <c r="E493" s="800"/>
      <c r="F493" s="801"/>
      <c r="G493" s="802"/>
      <c r="H493" s="402"/>
      <c r="I493" s="801"/>
      <c r="J493" s="802"/>
      <c r="K493" s="266"/>
      <c r="L493" s="245"/>
    </row>
    <row r="494" spans="2:12" x14ac:dyDescent="0.2">
      <c r="B494" s="243" t="s">
        <v>376</v>
      </c>
      <c r="C494" s="798" t="s">
        <v>407</v>
      </c>
      <c r="D494" s="799"/>
      <c r="E494" s="800"/>
      <c r="F494" s="801"/>
      <c r="G494" s="802"/>
      <c r="H494" s="402"/>
      <c r="I494" s="801"/>
      <c r="J494" s="802"/>
      <c r="K494" s="266"/>
      <c r="L494" s="245"/>
    </row>
    <row r="495" spans="2:12" x14ac:dyDescent="0.2">
      <c r="B495" s="805" t="s">
        <v>377</v>
      </c>
      <c r="C495" s="806"/>
      <c r="D495" s="806"/>
      <c r="E495" s="806"/>
      <c r="F495" s="806"/>
      <c r="G495" s="806"/>
      <c r="H495" s="806"/>
      <c r="I495" s="806"/>
      <c r="J495" s="807"/>
      <c r="K495" s="814" t="s">
        <v>378</v>
      </c>
      <c r="L495" s="815"/>
    </row>
    <row r="496" spans="2:12" x14ac:dyDescent="0.2">
      <c r="B496" s="808"/>
      <c r="C496" s="809"/>
      <c r="D496" s="809"/>
      <c r="E496" s="809"/>
      <c r="F496" s="809"/>
      <c r="G496" s="809"/>
      <c r="H496" s="809"/>
      <c r="I496" s="809"/>
      <c r="J496" s="810"/>
      <c r="K496" s="246" t="s">
        <v>379</v>
      </c>
      <c r="L496" s="245"/>
    </row>
    <row r="497" spans="2:12" x14ac:dyDescent="0.2">
      <c r="B497" s="808"/>
      <c r="C497" s="809"/>
      <c r="D497" s="809"/>
      <c r="E497" s="809"/>
      <c r="F497" s="809"/>
      <c r="G497" s="809"/>
      <c r="H497" s="809"/>
      <c r="I497" s="809"/>
      <c r="J497" s="810"/>
      <c r="K497" s="246" t="s">
        <v>380</v>
      </c>
      <c r="L497" s="245"/>
    </row>
    <row r="498" spans="2:12" ht="13.5" thickBot="1" x14ac:dyDescent="0.25">
      <c r="B498" s="811"/>
      <c r="C498" s="812"/>
      <c r="D498" s="812"/>
      <c r="E498" s="812"/>
      <c r="F498" s="812"/>
      <c r="G498" s="812"/>
      <c r="H498" s="812"/>
      <c r="I498" s="812"/>
      <c r="J498" s="813"/>
      <c r="K498" s="247" t="s">
        <v>381</v>
      </c>
      <c r="L498" s="248"/>
    </row>
    <row r="499" spans="2:12" x14ac:dyDescent="0.2">
      <c r="B499" s="362"/>
      <c r="C499" s="360"/>
      <c r="D499" s="360"/>
      <c r="E499" s="360"/>
      <c r="F499" s="360"/>
      <c r="G499" s="360"/>
      <c r="H499" s="360"/>
      <c r="I499" s="360"/>
      <c r="J499" s="360"/>
      <c r="K499" s="361"/>
      <c r="L499" s="397"/>
    </row>
    <row r="500" spans="2:12" x14ac:dyDescent="0.2">
      <c r="B500" s="364"/>
      <c r="C500" s="365"/>
      <c r="D500" s="365"/>
      <c r="E500" s="365"/>
      <c r="F500" s="365"/>
      <c r="G500" s="365"/>
      <c r="H500" s="365"/>
      <c r="I500" s="365"/>
      <c r="J500" s="365"/>
      <c r="K500" s="365"/>
      <c r="L500" s="366"/>
    </row>
    <row r="501" spans="2:12" x14ac:dyDescent="0.2">
      <c r="B501" s="758" t="s">
        <v>382</v>
      </c>
      <c r="C501" s="759"/>
      <c r="D501" s="759"/>
      <c r="E501" s="759"/>
      <c r="F501" s="759"/>
      <c r="G501" s="759"/>
      <c r="H501" s="759"/>
      <c r="I501" s="759"/>
      <c r="J501" s="759"/>
      <c r="K501" s="759"/>
      <c r="L501" s="760"/>
    </row>
    <row r="502" spans="2:12" x14ac:dyDescent="0.2">
      <c r="B502" s="300">
        <v>1</v>
      </c>
      <c r="C502" s="745" t="s">
        <v>480</v>
      </c>
      <c r="D502" s="746"/>
      <c r="E502" s="746"/>
      <c r="F502" s="746"/>
      <c r="G502" s="746"/>
      <c r="H502" s="746"/>
      <c r="I502" s="746"/>
      <c r="J502" s="746"/>
      <c r="K502" s="746"/>
      <c r="L502" s="747"/>
    </row>
    <row r="503" spans="2:12" x14ac:dyDescent="0.2">
      <c r="B503" s="427">
        <v>2</v>
      </c>
      <c r="C503" s="754" t="s">
        <v>472</v>
      </c>
      <c r="D503" s="755"/>
      <c r="E503" s="755"/>
      <c r="F503" s="755"/>
      <c r="G503" s="755"/>
      <c r="H503" s="755"/>
      <c r="I503" s="755"/>
      <c r="J503" s="755"/>
      <c r="K503" s="755"/>
      <c r="L503" s="756"/>
    </row>
    <row r="504" spans="2:12" x14ac:dyDescent="0.2">
      <c r="B504" s="339">
        <v>3</v>
      </c>
      <c r="C504" s="745" t="s">
        <v>473</v>
      </c>
      <c r="D504" s="746"/>
      <c r="E504" s="746"/>
      <c r="F504" s="746"/>
      <c r="G504" s="746"/>
      <c r="H504" s="746"/>
      <c r="I504" s="746"/>
      <c r="J504" s="746"/>
      <c r="K504" s="746"/>
      <c r="L504" s="747"/>
    </row>
    <row r="505" spans="2:12" x14ac:dyDescent="0.2">
      <c r="B505" s="339">
        <v>4</v>
      </c>
      <c r="C505" s="748" t="s">
        <v>474</v>
      </c>
      <c r="D505" s="749"/>
      <c r="E505" s="749"/>
      <c r="F505" s="749"/>
      <c r="G505" s="749"/>
      <c r="H505" s="749"/>
      <c r="I505" s="749"/>
      <c r="J505" s="749"/>
      <c r="K505" s="749"/>
      <c r="L505" s="750"/>
    </row>
    <row r="506" spans="2:12" x14ac:dyDescent="0.2">
      <c r="B506" s="356">
        <v>5</v>
      </c>
      <c r="C506" s="765" t="s">
        <v>502</v>
      </c>
      <c r="D506" s="766"/>
      <c r="E506" s="766"/>
      <c r="F506" s="766"/>
      <c r="G506" s="766"/>
      <c r="H506" s="766"/>
      <c r="I506" s="766"/>
      <c r="J506" s="766"/>
      <c r="K506" s="766"/>
      <c r="L506" s="767"/>
    </row>
    <row r="507" spans="2:12" x14ac:dyDescent="0.2">
      <c r="B507" s="356">
        <v>6</v>
      </c>
      <c r="C507" s="748" t="s">
        <v>475</v>
      </c>
      <c r="D507" s="749"/>
      <c r="E507" s="749"/>
      <c r="F507" s="749"/>
      <c r="G507" s="749"/>
      <c r="H507" s="749"/>
      <c r="I507" s="749"/>
      <c r="J507" s="749"/>
      <c r="K507" s="749"/>
      <c r="L507" s="750"/>
    </row>
    <row r="508" spans="2:12" x14ac:dyDescent="0.2">
      <c r="B508" s="356">
        <v>7</v>
      </c>
      <c r="C508" s="748" t="s">
        <v>476</v>
      </c>
      <c r="D508" s="749"/>
      <c r="E508" s="749"/>
      <c r="F508" s="749"/>
      <c r="G508" s="749"/>
      <c r="H508" s="749"/>
      <c r="I508" s="749"/>
      <c r="J508" s="749"/>
      <c r="K508" s="749"/>
      <c r="L508" s="750"/>
    </row>
    <row r="509" spans="2:12" x14ac:dyDescent="0.2">
      <c r="B509" s="356"/>
      <c r="C509" s="748"/>
      <c r="D509" s="749"/>
      <c r="E509" s="749"/>
      <c r="F509" s="749"/>
      <c r="G509" s="749"/>
      <c r="H509" s="749"/>
      <c r="I509" s="749"/>
      <c r="J509" s="749"/>
      <c r="K509" s="749"/>
      <c r="L509" s="750"/>
    </row>
    <row r="510" spans="2:12" x14ac:dyDescent="0.2">
      <c r="B510" s="300"/>
      <c r="C510" s="748"/>
      <c r="D510" s="749"/>
      <c r="E510" s="749"/>
      <c r="F510" s="749"/>
      <c r="G510" s="749"/>
      <c r="H510" s="749"/>
      <c r="I510" s="749"/>
      <c r="J510" s="749"/>
      <c r="K510" s="749"/>
      <c r="L510" s="750"/>
    </row>
    <row r="511" spans="2:12" x14ac:dyDescent="0.2">
      <c r="B511" s="758" t="s">
        <v>386</v>
      </c>
      <c r="C511" s="759"/>
      <c r="D511" s="759"/>
      <c r="E511" s="759"/>
      <c r="F511" s="759"/>
      <c r="G511" s="759"/>
      <c r="H511" s="759"/>
      <c r="I511" s="759"/>
      <c r="J511" s="759"/>
      <c r="K511" s="759"/>
      <c r="L511" s="760"/>
    </row>
    <row r="512" spans="2:12" x14ac:dyDescent="0.2">
      <c r="B512" s="269"/>
      <c r="C512" s="757"/>
      <c r="D512" s="746"/>
      <c r="E512" s="746"/>
      <c r="F512" s="746"/>
      <c r="G512" s="746"/>
      <c r="H512" s="746"/>
      <c r="I512" s="746"/>
      <c r="J512" s="746"/>
      <c r="K512" s="746"/>
      <c r="L512" s="747"/>
    </row>
    <row r="513" spans="2:12" x14ac:dyDescent="0.2">
      <c r="B513" s="269"/>
      <c r="C513" s="757"/>
      <c r="D513" s="746"/>
      <c r="E513" s="746"/>
      <c r="F513" s="746"/>
      <c r="G513" s="746"/>
      <c r="H513" s="746"/>
      <c r="I513" s="746"/>
      <c r="J513" s="746"/>
      <c r="K513" s="746"/>
      <c r="L513" s="747"/>
    </row>
    <row r="514" spans="2:12" x14ac:dyDescent="0.2">
      <c r="B514" s="269"/>
      <c r="C514" s="757"/>
      <c r="D514" s="746"/>
      <c r="E514" s="746"/>
      <c r="F514" s="746"/>
      <c r="G514" s="746"/>
      <c r="H514" s="746"/>
      <c r="I514" s="746"/>
      <c r="J514" s="746"/>
      <c r="K514" s="746"/>
      <c r="L514" s="747"/>
    </row>
    <row r="515" spans="2:12" x14ac:dyDescent="0.2">
      <c r="B515" s="758" t="s">
        <v>387</v>
      </c>
      <c r="C515" s="759"/>
      <c r="D515" s="759"/>
      <c r="E515" s="759"/>
      <c r="F515" s="759"/>
      <c r="G515" s="759"/>
      <c r="H515" s="759"/>
      <c r="I515" s="759"/>
      <c r="J515" s="759"/>
      <c r="K515" s="759"/>
      <c r="L515" s="760"/>
    </row>
    <row r="516" spans="2:12" x14ac:dyDescent="0.2">
      <c r="B516" s="269">
        <v>1</v>
      </c>
      <c r="C516" s="745" t="s">
        <v>479</v>
      </c>
      <c r="D516" s="746"/>
      <c r="E516" s="746"/>
      <c r="F516" s="746"/>
      <c r="G516" s="746"/>
      <c r="H516" s="746"/>
      <c r="I516" s="746"/>
      <c r="J516" s="746"/>
      <c r="K516" s="746"/>
      <c r="L516" s="747"/>
    </row>
    <row r="517" spans="2:12" x14ac:dyDescent="0.2">
      <c r="B517" s="269">
        <v>2</v>
      </c>
      <c r="C517" s="745" t="s">
        <v>507</v>
      </c>
      <c r="D517" s="746"/>
      <c r="E517" s="746"/>
      <c r="F517" s="746"/>
      <c r="G517" s="746"/>
      <c r="H517" s="746"/>
      <c r="I517" s="746"/>
      <c r="J517" s="746"/>
      <c r="K517" s="746"/>
      <c r="L517" s="747"/>
    </row>
    <row r="518" spans="2:12" x14ac:dyDescent="0.2">
      <c r="B518" s="368">
        <v>3</v>
      </c>
      <c r="C518" s="745" t="s">
        <v>508</v>
      </c>
      <c r="D518" s="746"/>
      <c r="E518" s="746"/>
      <c r="F518" s="746"/>
      <c r="G518" s="746"/>
      <c r="H518" s="746"/>
      <c r="I518" s="746"/>
      <c r="J518" s="746"/>
      <c r="K518" s="746"/>
      <c r="L518" s="747"/>
    </row>
    <row r="519" spans="2:12" x14ac:dyDescent="0.2">
      <c r="B519" s="761" t="s">
        <v>383</v>
      </c>
      <c r="C519" s="762"/>
      <c r="D519" s="762"/>
      <c r="E519" s="762"/>
      <c r="F519" s="762"/>
      <c r="G519" s="762"/>
      <c r="H519" s="762"/>
      <c r="I519" s="762"/>
      <c r="J519" s="762"/>
      <c r="K519" s="762"/>
      <c r="L519" s="763"/>
    </row>
    <row r="520" spans="2:12" x14ac:dyDescent="0.2">
      <c r="B520" s="764" t="s">
        <v>446</v>
      </c>
      <c r="C520" s="746"/>
      <c r="D520" s="746"/>
      <c r="E520" s="746"/>
      <c r="F520" s="746"/>
      <c r="G520" s="746"/>
      <c r="H520" s="746"/>
      <c r="I520" s="746"/>
      <c r="J520" s="746"/>
      <c r="K520" s="746"/>
      <c r="L520" s="747"/>
    </row>
    <row r="521" spans="2:12" x14ac:dyDescent="0.2">
      <c r="B521" s="764"/>
      <c r="C521" s="746"/>
      <c r="D521" s="746"/>
      <c r="E521" s="746"/>
      <c r="F521" s="746"/>
      <c r="G521" s="746"/>
      <c r="H521" s="746"/>
      <c r="I521" s="746"/>
      <c r="J521" s="746"/>
      <c r="K521" s="746"/>
      <c r="L521" s="747"/>
    </row>
    <row r="522" spans="2:12" x14ac:dyDescent="0.2">
      <c r="B522" s="764"/>
      <c r="C522" s="746"/>
      <c r="D522" s="746"/>
      <c r="E522" s="746"/>
      <c r="F522" s="746"/>
      <c r="G522" s="746"/>
      <c r="H522" s="746"/>
      <c r="I522" s="746"/>
      <c r="J522" s="746"/>
      <c r="K522" s="746"/>
      <c r="L522" s="747"/>
    </row>
    <row r="523" spans="2:12" x14ac:dyDescent="0.2">
      <c r="B523" s="764"/>
      <c r="C523" s="746"/>
      <c r="D523" s="746"/>
      <c r="E523" s="746"/>
      <c r="F523" s="746"/>
      <c r="G523" s="746"/>
      <c r="H523" s="746"/>
      <c r="I523" s="746"/>
      <c r="J523" s="746"/>
      <c r="K523" s="746"/>
      <c r="L523" s="747"/>
    </row>
    <row r="524" spans="2:12" x14ac:dyDescent="0.2">
      <c r="B524" s="768"/>
      <c r="C524" s="769"/>
      <c r="D524" s="769"/>
      <c r="E524" s="769"/>
      <c r="F524" s="769"/>
      <c r="G524" s="398"/>
      <c r="H524" s="769"/>
      <c r="I524" s="769"/>
      <c r="J524" s="769"/>
      <c r="K524" s="769"/>
      <c r="L524" s="774"/>
    </row>
    <row r="525" spans="2:12" x14ac:dyDescent="0.2">
      <c r="B525" s="770"/>
      <c r="C525" s="771"/>
      <c r="D525" s="771"/>
      <c r="E525" s="771"/>
      <c r="F525" s="771"/>
      <c r="G525" s="399"/>
      <c r="H525" s="771"/>
      <c r="I525" s="771"/>
      <c r="J525" s="771"/>
      <c r="K525" s="771"/>
      <c r="L525" s="775"/>
    </row>
    <row r="526" spans="2:12" x14ac:dyDescent="0.2">
      <c r="B526" s="770"/>
      <c r="C526" s="771"/>
      <c r="D526" s="771"/>
      <c r="E526" s="771"/>
      <c r="F526" s="771"/>
      <c r="G526" s="399"/>
      <c r="H526" s="771"/>
      <c r="I526" s="771"/>
      <c r="J526" s="771"/>
      <c r="K526" s="771"/>
      <c r="L526" s="775"/>
    </row>
    <row r="527" spans="2:12" x14ac:dyDescent="0.2">
      <c r="B527" s="772"/>
      <c r="C527" s="773"/>
      <c r="D527" s="773"/>
      <c r="E527" s="773"/>
      <c r="F527" s="773"/>
      <c r="G527" s="400"/>
      <c r="H527" s="773"/>
      <c r="I527" s="773"/>
      <c r="J527" s="773"/>
      <c r="K527" s="773"/>
      <c r="L527" s="776"/>
    </row>
    <row r="528" spans="2:12" ht="13.5" thickBot="1" x14ac:dyDescent="0.25">
      <c r="B528" s="751" t="s">
        <v>384</v>
      </c>
      <c r="C528" s="752"/>
      <c r="D528" s="752"/>
      <c r="E528" s="752"/>
      <c r="F528" s="752"/>
      <c r="G528" s="401"/>
      <c r="H528" s="752" t="s">
        <v>385</v>
      </c>
      <c r="I528" s="752"/>
      <c r="J528" s="752"/>
      <c r="K528" s="752"/>
      <c r="L528" s="753"/>
    </row>
    <row r="530" spans="2:12" ht="13.5" thickBot="1" x14ac:dyDescent="0.25"/>
    <row r="531" spans="2:12" ht="23.25" x14ac:dyDescent="0.2">
      <c r="B531" s="862" t="s">
        <v>336</v>
      </c>
      <c r="C531" s="863"/>
      <c r="D531" s="863"/>
      <c r="E531" s="863"/>
      <c r="F531" s="863"/>
      <c r="G531" s="863"/>
      <c r="H531" s="863"/>
      <c r="I531" s="863"/>
      <c r="J531" s="863"/>
      <c r="K531" s="863"/>
      <c r="L531" s="864"/>
    </row>
    <row r="532" spans="2:12" ht="20.25" x14ac:dyDescent="0.2">
      <c r="B532" s="20"/>
      <c r="C532" s="21"/>
      <c r="D532" s="210"/>
      <c r="E532" s="210"/>
      <c r="F532" s="210"/>
      <c r="G532" s="210"/>
      <c r="H532" s="210"/>
      <c r="I532" s="210"/>
      <c r="J532" s="210"/>
      <c r="K532" s="211" t="str">
        <f>("DATA ATUAL:"&amp;"    "&amp;UPPER(LEFT(TEXT(L532,"DDDD"),7)))</f>
        <v>DATA ATUAL:    TERÇA-F</v>
      </c>
      <c r="L532" s="253">
        <v>44677</v>
      </c>
    </row>
    <row r="533" spans="2:12" ht="20.25" x14ac:dyDescent="0.2">
      <c r="B533" s="20"/>
      <c r="C533" s="21"/>
      <c r="D533" s="212"/>
      <c r="E533" s="212"/>
      <c r="F533" s="212"/>
      <c r="G533" s="212"/>
      <c r="H533" s="212"/>
      <c r="I533" s="212"/>
      <c r="J533" s="212"/>
      <c r="K533" s="211" t="s">
        <v>337</v>
      </c>
      <c r="L533" s="359">
        <v>7</v>
      </c>
    </row>
    <row r="534" spans="2:12" ht="20.25" x14ac:dyDescent="0.2">
      <c r="B534" s="20"/>
      <c r="C534" s="21"/>
      <c r="D534" s="865" t="s">
        <v>338</v>
      </c>
      <c r="E534" s="865"/>
      <c r="F534" s="865"/>
      <c r="G534" s="865"/>
      <c r="H534" s="865"/>
      <c r="I534" s="865"/>
      <c r="J534" s="212"/>
      <c r="K534" s="211" t="s">
        <v>339</v>
      </c>
      <c r="L534" s="255">
        <f>IFERROR(IF(AND(L539&gt;0,L538&gt;0),L539-L538,0),"")</f>
        <v>31</v>
      </c>
    </row>
    <row r="535" spans="2:12" x14ac:dyDescent="0.2">
      <c r="B535" s="20"/>
      <c r="C535" s="21"/>
      <c r="D535" s="866" t="s">
        <v>340</v>
      </c>
      <c r="E535" s="866"/>
      <c r="F535" s="866"/>
      <c r="G535" s="866"/>
      <c r="H535" s="866"/>
      <c r="I535" s="866"/>
      <c r="J535" s="213"/>
      <c r="K535" s="211" t="s">
        <v>341</v>
      </c>
      <c r="L535" s="255">
        <f>IF(OR(AND(K583&lt;&gt;"",K584&lt;&gt;"",K585&lt;&gt;""),AND(D579&lt;&gt;"",F579&lt;&gt;"")),IF(L538&gt;0,NETWORKDAYS.INTL(L538,L532,11),0),IF(L538&gt;0,NETWORKDAYS.INTL(L538,L532,11),0))</f>
        <v>7</v>
      </c>
    </row>
    <row r="536" spans="2:12" x14ac:dyDescent="0.2">
      <c r="B536" s="20"/>
      <c r="C536" s="21"/>
      <c r="D536" s="867" t="s">
        <v>342</v>
      </c>
      <c r="E536" s="867"/>
      <c r="F536" s="867"/>
      <c r="G536" s="867"/>
      <c r="H536" s="867"/>
      <c r="I536" s="867"/>
      <c r="J536" s="214"/>
      <c r="K536" s="211" t="s">
        <v>343</v>
      </c>
      <c r="L536" s="255">
        <f>IFERROR(L534-L535,"")</f>
        <v>24</v>
      </c>
    </row>
    <row r="537" spans="2:12" x14ac:dyDescent="0.2">
      <c r="B537" s="758" t="s">
        <v>344</v>
      </c>
      <c r="C537" s="759"/>
      <c r="D537" s="759"/>
      <c r="E537" s="759"/>
      <c r="F537" s="759"/>
      <c r="G537" s="759"/>
      <c r="H537" s="759"/>
      <c r="I537" s="759"/>
      <c r="J537" s="759"/>
      <c r="K537" s="759"/>
      <c r="L537" s="760"/>
    </row>
    <row r="538" spans="2:12" x14ac:dyDescent="0.2">
      <c r="B538" s="868" t="s">
        <v>345</v>
      </c>
      <c r="C538" s="852"/>
      <c r="D538" s="852" t="s">
        <v>404</v>
      </c>
      <c r="E538" s="852"/>
      <c r="F538" s="852"/>
      <c r="G538" s="852"/>
      <c r="H538" s="852"/>
      <c r="I538" s="852"/>
      <c r="J538" s="852"/>
      <c r="K538" s="216" t="s">
        <v>346</v>
      </c>
      <c r="L538" s="217">
        <v>44670</v>
      </c>
    </row>
    <row r="539" spans="2:12" x14ac:dyDescent="0.2">
      <c r="B539" s="425" t="s">
        <v>347</v>
      </c>
      <c r="C539" s="852"/>
      <c r="D539" s="852"/>
      <c r="E539" s="852"/>
      <c r="F539" s="852"/>
      <c r="G539" s="852"/>
      <c r="H539" s="852"/>
      <c r="I539" s="852"/>
      <c r="J539" s="852"/>
      <c r="K539" s="216" t="s">
        <v>348</v>
      </c>
      <c r="L539" s="217">
        <v>44701</v>
      </c>
    </row>
    <row r="540" spans="2:12" x14ac:dyDescent="0.2">
      <c r="B540" s="868" t="s">
        <v>349</v>
      </c>
      <c r="C540" s="852"/>
      <c r="D540" s="852" t="s">
        <v>405</v>
      </c>
      <c r="E540" s="852"/>
      <c r="F540" s="852"/>
      <c r="G540" s="852"/>
      <c r="H540" s="852"/>
      <c r="I540" s="852"/>
      <c r="J540" s="852"/>
      <c r="K540" s="852"/>
      <c r="L540" s="853"/>
    </row>
    <row r="541" spans="2:12" x14ac:dyDescent="0.2">
      <c r="B541" s="868" t="s">
        <v>350</v>
      </c>
      <c r="C541" s="869"/>
      <c r="D541" s="869"/>
      <c r="E541" s="852" t="s">
        <v>402</v>
      </c>
      <c r="F541" s="852"/>
      <c r="G541" s="852"/>
      <c r="H541" s="852"/>
      <c r="I541" s="852"/>
      <c r="J541" s="852"/>
      <c r="K541" s="852"/>
      <c r="L541" s="853"/>
    </row>
    <row r="542" spans="2:12" x14ac:dyDescent="0.2">
      <c r="B542" s="425" t="s">
        <v>351</v>
      </c>
      <c r="C542" s="426"/>
      <c r="D542" s="870"/>
      <c r="E542" s="870"/>
      <c r="F542" s="870"/>
      <c r="G542" s="870"/>
      <c r="H542" s="870"/>
      <c r="I542" s="870"/>
      <c r="J542" s="870"/>
      <c r="K542" s="870"/>
      <c r="L542" s="871"/>
    </row>
    <row r="543" spans="2:12" x14ac:dyDescent="0.2">
      <c r="B543" s="758" t="s">
        <v>352</v>
      </c>
      <c r="C543" s="759"/>
      <c r="D543" s="759"/>
      <c r="E543" s="759"/>
      <c r="F543" s="759"/>
      <c r="G543" s="759"/>
      <c r="H543" s="759"/>
      <c r="I543" s="759"/>
      <c r="J543" s="759"/>
      <c r="K543" s="759"/>
      <c r="L543" s="760"/>
    </row>
    <row r="544" spans="2:12" x14ac:dyDescent="0.2">
      <c r="B544" s="868" t="s">
        <v>353</v>
      </c>
      <c r="C544" s="869"/>
      <c r="D544" s="869"/>
      <c r="E544" s="852"/>
      <c r="F544" s="852"/>
      <c r="G544" s="852"/>
      <c r="H544" s="852"/>
      <c r="I544" s="852"/>
      <c r="J544" s="852"/>
      <c r="K544" s="852"/>
      <c r="L544" s="853"/>
    </row>
    <row r="545" spans="2:12" x14ac:dyDescent="0.2">
      <c r="B545" s="219" t="s">
        <v>321</v>
      </c>
      <c r="C545" s="852"/>
      <c r="D545" s="852"/>
      <c r="E545" s="852"/>
      <c r="F545" s="852"/>
      <c r="G545" s="852"/>
      <c r="H545" s="852"/>
      <c r="I545" s="852"/>
      <c r="J545" s="852"/>
      <c r="K545" s="852"/>
      <c r="L545" s="853"/>
    </row>
    <row r="546" spans="2:12" x14ac:dyDescent="0.2">
      <c r="B546" s="219" t="s">
        <v>351</v>
      </c>
      <c r="C546" s="852"/>
      <c r="D546" s="852"/>
      <c r="E546" s="852"/>
      <c r="F546" s="852"/>
      <c r="G546" s="852"/>
      <c r="H546" s="852"/>
      <c r="I546" s="852"/>
      <c r="J546" s="852"/>
      <c r="K546" s="852"/>
      <c r="L546" s="853"/>
    </row>
    <row r="547" spans="2:12" x14ac:dyDescent="0.2">
      <c r="B547" s="219" t="s">
        <v>354</v>
      </c>
      <c r="C547" s="852"/>
      <c r="D547" s="852"/>
      <c r="E547" s="852"/>
      <c r="F547" s="852"/>
      <c r="G547" s="852"/>
      <c r="H547" s="852"/>
      <c r="I547" s="852"/>
      <c r="J547" s="852"/>
      <c r="K547" s="852"/>
      <c r="L547" s="853"/>
    </row>
    <row r="548" spans="2:12" x14ac:dyDescent="0.2">
      <c r="B548" s="758" t="s">
        <v>355</v>
      </c>
      <c r="C548" s="759"/>
      <c r="D548" s="759"/>
      <c r="E548" s="759"/>
      <c r="F548" s="759"/>
      <c r="G548" s="759"/>
      <c r="H548" s="759"/>
      <c r="I548" s="759"/>
      <c r="J548" s="759"/>
      <c r="K548" s="759"/>
      <c r="L548" s="760"/>
    </row>
    <row r="549" spans="2:12" x14ac:dyDescent="0.2">
      <c r="B549" s="803" t="s">
        <v>356</v>
      </c>
      <c r="C549" s="782"/>
      <c r="D549" s="782"/>
      <c r="E549" s="782"/>
      <c r="F549" s="782"/>
      <c r="G549" s="782"/>
      <c r="H549" s="782"/>
      <c r="I549" s="782"/>
      <c r="J549" s="782"/>
      <c r="K549" s="782"/>
      <c r="L549" s="804"/>
    </row>
    <row r="550" spans="2:12" x14ac:dyDescent="0.2">
      <c r="B550" s="854" t="s">
        <v>357</v>
      </c>
      <c r="C550" s="824"/>
      <c r="D550" s="825"/>
      <c r="E550" s="840" t="s">
        <v>358</v>
      </c>
      <c r="F550" s="841"/>
      <c r="G550" s="841"/>
      <c r="H550" s="841"/>
      <c r="I550" s="841"/>
      <c r="J550" s="841"/>
      <c r="K550" s="842"/>
      <c r="L550" s="855" t="s">
        <v>359</v>
      </c>
    </row>
    <row r="551" spans="2:12" x14ac:dyDescent="0.2">
      <c r="B551" s="854"/>
      <c r="C551" s="824"/>
      <c r="D551" s="825"/>
      <c r="E551" s="843"/>
      <c r="F551" s="844"/>
      <c r="G551" s="844"/>
      <c r="H551" s="844"/>
      <c r="I551" s="844"/>
      <c r="J551" s="844"/>
      <c r="K551" s="845"/>
      <c r="L551" s="856"/>
    </row>
    <row r="552" spans="2:12" x14ac:dyDescent="0.2">
      <c r="B552" s="857" t="s">
        <v>400</v>
      </c>
      <c r="C552" s="746"/>
      <c r="D552" s="858"/>
      <c r="E552" s="748" t="s">
        <v>412</v>
      </c>
      <c r="F552" s="859"/>
      <c r="G552" s="859"/>
      <c r="H552" s="859"/>
      <c r="I552" s="859"/>
      <c r="J552" s="859"/>
      <c r="K552" s="858"/>
      <c r="L552" s="220">
        <v>2</v>
      </c>
    </row>
    <row r="553" spans="2:12" x14ac:dyDescent="0.2">
      <c r="B553" s="764" t="s">
        <v>416</v>
      </c>
      <c r="C553" s="746"/>
      <c r="D553" s="858"/>
      <c r="E553" s="860" t="s">
        <v>417</v>
      </c>
      <c r="F553" s="859"/>
      <c r="G553" s="859"/>
      <c r="H553" s="859"/>
      <c r="I553" s="859"/>
      <c r="J553" s="859"/>
      <c r="K553" s="858"/>
      <c r="L553" s="220">
        <v>1</v>
      </c>
    </row>
    <row r="554" spans="2:12" x14ac:dyDescent="0.2">
      <c r="B554" s="764" t="s">
        <v>411</v>
      </c>
      <c r="C554" s="859"/>
      <c r="D554" s="858"/>
      <c r="E554" s="860" t="s">
        <v>413</v>
      </c>
      <c r="F554" s="859"/>
      <c r="G554" s="859"/>
      <c r="H554" s="859"/>
      <c r="I554" s="859"/>
      <c r="J554" s="859"/>
      <c r="K554" s="858"/>
      <c r="L554" s="221">
        <v>1</v>
      </c>
    </row>
    <row r="555" spans="2:12" x14ac:dyDescent="0.2">
      <c r="B555" s="764"/>
      <c r="C555" s="859"/>
      <c r="D555" s="858"/>
      <c r="E555" s="860"/>
      <c r="F555" s="859"/>
      <c r="G555" s="859"/>
      <c r="H555" s="859"/>
      <c r="I555" s="859"/>
      <c r="J555" s="859"/>
      <c r="K555" s="858"/>
      <c r="L555" s="221"/>
    </row>
    <row r="556" spans="2:12" x14ac:dyDescent="0.2">
      <c r="B556" s="777" t="s">
        <v>360</v>
      </c>
      <c r="C556" s="861"/>
      <c r="D556" s="861"/>
      <c r="E556" s="861"/>
      <c r="F556" s="861"/>
      <c r="G556" s="861"/>
      <c r="H556" s="861"/>
      <c r="I556" s="861"/>
      <c r="J556" s="861"/>
      <c r="K556" s="779"/>
      <c r="L556" s="224">
        <f>SUM(L552:L555)</f>
        <v>4</v>
      </c>
    </row>
    <row r="557" spans="2:12" x14ac:dyDescent="0.2">
      <c r="B557" s="803" t="s">
        <v>361</v>
      </c>
      <c r="C557" s="782"/>
      <c r="D557" s="782"/>
      <c r="E557" s="782"/>
      <c r="F557" s="782"/>
      <c r="G557" s="782"/>
      <c r="H557" s="782"/>
      <c r="I557" s="782"/>
      <c r="J557" s="782"/>
      <c r="K557" s="782"/>
      <c r="L557" s="804"/>
    </row>
    <row r="558" spans="2:12" x14ac:dyDescent="0.2">
      <c r="B558" s="834" t="s">
        <v>362</v>
      </c>
      <c r="C558" s="840" t="s">
        <v>357</v>
      </c>
      <c r="D558" s="842"/>
      <c r="E558" s="840" t="s">
        <v>358</v>
      </c>
      <c r="F558" s="841"/>
      <c r="G558" s="841"/>
      <c r="H558" s="841"/>
      <c r="I558" s="841"/>
      <c r="J558" s="841"/>
      <c r="K558" s="842"/>
      <c r="L558" s="816" t="s">
        <v>359</v>
      </c>
    </row>
    <row r="559" spans="2:12" x14ac:dyDescent="0.2">
      <c r="B559" s="835"/>
      <c r="C559" s="843"/>
      <c r="D559" s="845"/>
      <c r="E559" s="843"/>
      <c r="F559" s="844"/>
      <c r="G559" s="844"/>
      <c r="H559" s="844"/>
      <c r="I559" s="844"/>
      <c r="J559" s="844"/>
      <c r="K559" s="845"/>
      <c r="L559" s="817"/>
    </row>
    <row r="560" spans="2:12" x14ac:dyDescent="0.2">
      <c r="B560" s="423"/>
      <c r="C560" s="818"/>
      <c r="D560" s="819"/>
      <c r="E560" s="820"/>
      <c r="F560" s="821"/>
      <c r="G560" s="821"/>
      <c r="H560" s="821"/>
      <c r="I560" s="821"/>
      <c r="J560" s="821"/>
      <c r="K560" s="822"/>
      <c r="L560" s="424"/>
    </row>
    <row r="561" spans="2:12" x14ac:dyDescent="0.2">
      <c r="B561" s="423"/>
      <c r="C561" s="818"/>
      <c r="D561" s="819"/>
      <c r="E561" s="820"/>
      <c r="F561" s="821"/>
      <c r="G561" s="821"/>
      <c r="H561" s="821"/>
      <c r="I561" s="821"/>
      <c r="J561" s="821"/>
      <c r="K561" s="822"/>
      <c r="L561" s="424"/>
    </row>
    <row r="562" spans="2:12" x14ac:dyDescent="0.2">
      <c r="B562" s="423"/>
      <c r="C562" s="818"/>
      <c r="D562" s="819"/>
      <c r="E562" s="823"/>
      <c r="F562" s="824"/>
      <c r="G562" s="824"/>
      <c r="H562" s="824"/>
      <c r="I562" s="824"/>
      <c r="J562" s="824"/>
      <c r="K562" s="825"/>
      <c r="L562" s="424"/>
    </row>
    <row r="563" spans="2:12" x14ac:dyDescent="0.2">
      <c r="B563" s="423"/>
      <c r="C563" s="818"/>
      <c r="D563" s="819"/>
      <c r="E563" s="823"/>
      <c r="F563" s="824"/>
      <c r="G563" s="824"/>
      <c r="H563" s="824"/>
      <c r="I563" s="824"/>
      <c r="J563" s="824"/>
      <c r="K563" s="825"/>
      <c r="L563" s="424"/>
    </row>
    <row r="564" spans="2:12" x14ac:dyDescent="0.2">
      <c r="B564" s="423"/>
      <c r="C564" s="818"/>
      <c r="D564" s="819"/>
      <c r="E564" s="823"/>
      <c r="F564" s="824"/>
      <c r="G564" s="824"/>
      <c r="H564" s="824"/>
      <c r="I564" s="824"/>
      <c r="J564" s="824"/>
      <c r="K564" s="825"/>
      <c r="L564" s="424"/>
    </row>
    <row r="565" spans="2:12" x14ac:dyDescent="0.2">
      <c r="B565" s="826" t="s">
        <v>360</v>
      </c>
      <c r="C565" s="827"/>
      <c r="D565" s="827"/>
      <c r="E565" s="827"/>
      <c r="F565" s="827"/>
      <c r="G565" s="827"/>
      <c r="H565" s="827"/>
      <c r="I565" s="827"/>
      <c r="J565" s="827"/>
      <c r="K565" s="828"/>
      <c r="L565" s="227">
        <f>SUM(L560:L564)</f>
        <v>0</v>
      </c>
    </row>
    <row r="566" spans="2:12" x14ac:dyDescent="0.2">
      <c r="B566" s="829" t="s">
        <v>406</v>
      </c>
      <c r="C566" s="830"/>
      <c r="D566" s="830"/>
      <c r="E566" s="830"/>
      <c r="F566" s="830"/>
      <c r="G566" s="830"/>
      <c r="H566" s="830"/>
      <c r="I566" s="830"/>
      <c r="J566" s="830"/>
      <c r="K566" s="831"/>
      <c r="L566" s="228">
        <f>L565+L556</f>
        <v>4</v>
      </c>
    </row>
    <row r="567" spans="2:12" x14ac:dyDescent="0.2">
      <c r="B567" s="758" t="s">
        <v>215</v>
      </c>
      <c r="C567" s="759"/>
      <c r="D567" s="759"/>
      <c r="E567" s="759"/>
      <c r="F567" s="759"/>
      <c r="G567" s="759"/>
      <c r="H567" s="759"/>
      <c r="I567" s="759"/>
      <c r="J567" s="759"/>
      <c r="K567" s="759"/>
      <c r="L567" s="760"/>
    </row>
    <row r="568" spans="2:12" x14ac:dyDescent="0.2">
      <c r="B568" s="803" t="s">
        <v>363</v>
      </c>
      <c r="C568" s="782"/>
      <c r="D568" s="782"/>
      <c r="E568" s="782"/>
      <c r="F568" s="782"/>
      <c r="G568" s="782"/>
      <c r="H568" s="782"/>
      <c r="I568" s="782"/>
      <c r="J568" s="803" t="s">
        <v>364</v>
      </c>
      <c r="K568" s="782"/>
      <c r="L568" s="804"/>
    </row>
    <row r="569" spans="2:12" x14ac:dyDescent="0.2">
      <c r="B569" s="834" t="s">
        <v>362</v>
      </c>
      <c r="C569" s="836" t="s">
        <v>29</v>
      </c>
      <c r="D569" s="837"/>
      <c r="E569" s="840" t="s">
        <v>1</v>
      </c>
      <c r="F569" s="841"/>
      <c r="G569" s="841"/>
      <c r="H569" s="842"/>
      <c r="I569" s="846" t="s">
        <v>359</v>
      </c>
      <c r="J569" s="848" t="s">
        <v>29</v>
      </c>
      <c r="K569" s="850" t="s">
        <v>1</v>
      </c>
      <c r="L569" s="846" t="s">
        <v>365</v>
      </c>
    </row>
    <row r="570" spans="2:12" x14ac:dyDescent="0.2">
      <c r="B570" s="835"/>
      <c r="C570" s="838"/>
      <c r="D570" s="839"/>
      <c r="E570" s="843"/>
      <c r="F570" s="844"/>
      <c r="G570" s="844"/>
      <c r="H570" s="845"/>
      <c r="I570" s="847"/>
      <c r="J570" s="849"/>
      <c r="K570" s="851"/>
      <c r="L570" s="847"/>
    </row>
    <row r="571" spans="2:12" x14ac:dyDescent="0.2">
      <c r="B571" s="229"/>
      <c r="C571" s="832"/>
      <c r="D571" s="822"/>
      <c r="E571" s="832"/>
      <c r="F571" s="833"/>
      <c r="G571" s="833"/>
      <c r="H571" s="822"/>
      <c r="I571" s="231"/>
      <c r="J571" s="422" t="s">
        <v>503</v>
      </c>
      <c r="K571" s="417" t="s">
        <v>504</v>
      </c>
      <c r="L571" s="221">
        <v>1</v>
      </c>
    </row>
    <row r="572" spans="2:12" x14ac:dyDescent="0.2">
      <c r="B572" s="229"/>
      <c r="C572" s="832"/>
      <c r="D572" s="822"/>
      <c r="E572" s="832"/>
      <c r="F572" s="833"/>
      <c r="G572" s="833"/>
      <c r="H572" s="822"/>
      <c r="I572" s="234"/>
      <c r="J572" s="235"/>
      <c r="K572" s="236"/>
      <c r="L572" s="237"/>
    </row>
    <row r="573" spans="2:12" x14ac:dyDescent="0.2">
      <c r="B573" s="229"/>
      <c r="C573" s="832"/>
      <c r="D573" s="822"/>
      <c r="E573" s="832"/>
      <c r="F573" s="833"/>
      <c r="G573" s="833"/>
      <c r="H573" s="822"/>
      <c r="I573" s="239"/>
      <c r="J573" s="230"/>
      <c r="K573" s="238"/>
      <c r="L573" s="220"/>
    </row>
    <row r="574" spans="2:12" x14ac:dyDescent="0.2">
      <c r="B574" s="777" t="s">
        <v>366</v>
      </c>
      <c r="C574" s="778"/>
      <c r="D574" s="778"/>
      <c r="E574" s="778"/>
      <c r="F574" s="778"/>
      <c r="G574" s="778"/>
      <c r="H574" s="779"/>
      <c r="I574" s="252">
        <f>SUM(I571:I573)</f>
        <v>0</v>
      </c>
      <c r="J574" s="780" t="s">
        <v>366</v>
      </c>
      <c r="K574" s="781"/>
      <c r="L574" s="240">
        <f>SUM(L571:L573)</f>
        <v>1</v>
      </c>
    </row>
    <row r="575" spans="2:12" x14ac:dyDescent="0.2">
      <c r="B575" s="777" t="s">
        <v>27</v>
      </c>
      <c r="C575" s="778"/>
      <c r="D575" s="778"/>
      <c r="E575" s="778"/>
      <c r="F575" s="778"/>
      <c r="G575" s="778"/>
      <c r="H575" s="778"/>
      <c r="I575" s="778"/>
      <c r="J575" s="778"/>
      <c r="K575" s="779"/>
      <c r="L575" s="240">
        <f>L574+I574</f>
        <v>1</v>
      </c>
    </row>
    <row r="576" spans="2:12" x14ac:dyDescent="0.2">
      <c r="B576" s="758" t="s">
        <v>388</v>
      </c>
      <c r="C576" s="759"/>
      <c r="D576" s="759"/>
      <c r="E576" s="759"/>
      <c r="F576" s="759"/>
      <c r="G576" s="759"/>
      <c r="H576" s="759"/>
      <c r="I576" s="759"/>
      <c r="J576" s="759"/>
      <c r="K576" s="759"/>
      <c r="L576" s="760"/>
    </row>
    <row r="577" spans="2:12" x14ac:dyDescent="0.2">
      <c r="B577" s="803" t="s">
        <v>368</v>
      </c>
      <c r="C577" s="782"/>
      <c r="D577" s="804"/>
      <c r="E577" s="782" t="s">
        <v>394</v>
      </c>
      <c r="F577" s="782"/>
      <c r="G577" s="783" t="s">
        <v>389</v>
      </c>
      <c r="H577" s="784"/>
      <c r="I577" s="784"/>
      <c r="J577" s="784"/>
      <c r="K577" s="784"/>
      <c r="L577" s="785"/>
    </row>
    <row r="578" spans="2:12" x14ac:dyDescent="0.2">
      <c r="B578" s="786" t="s">
        <v>393</v>
      </c>
      <c r="C578" s="787"/>
      <c r="D578" s="265" t="s">
        <v>390</v>
      </c>
      <c r="E578" s="420" t="s">
        <v>391</v>
      </c>
      <c r="F578" s="264" t="s">
        <v>392</v>
      </c>
      <c r="G578" s="419"/>
      <c r="H578" s="420"/>
      <c r="I578" s="420"/>
      <c r="J578" s="420"/>
      <c r="K578" s="420"/>
      <c r="L578" s="421"/>
    </row>
    <row r="579" spans="2:12" x14ac:dyDescent="0.2">
      <c r="B579" s="324"/>
      <c r="C579" s="324"/>
      <c r="D579" s="788"/>
      <c r="E579" s="268"/>
      <c r="F579" s="790"/>
      <c r="G579" s="783"/>
      <c r="H579" s="784"/>
      <c r="I579" s="784"/>
      <c r="J579" s="784"/>
      <c r="K579" s="784"/>
      <c r="L579" s="785"/>
    </row>
    <row r="580" spans="2:12" x14ac:dyDescent="0.2">
      <c r="B580" s="324"/>
      <c r="C580" s="324"/>
      <c r="D580" s="789"/>
      <c r="E580" s="268"/>
      <c r="F580" s="791"/>
      <c r="G580" s="783"/>
      <c r="H580" s="784"/>
      <c r="I580" s="784"/>
      <c r="J580" s="784"/>
      <c r="K580" s="784"/>
      <c r="L580" s="785"/>
    </row>
    <row r="581" spans="2:12" x14ac:dyDescent="0.2">
      <c r="B581" s="792" t="s">
        <v>367</v>
      </c>
      <c r="C581" s="793"/>
      <c r="D581" s="793"/>
      <c r="E581" s="793"/>
      <c r="F581" s="793"/>
      <c r="G581" s="793"/>
      <c r="H581" s="793"/>
      <c r="I581" s="793"/>
      <c r="J581" s="793"/>
      <c r="K581" s="793"/>
      <c r="L581" s="794"/>
    </row>
    <row r="582" spans="2:12" ht="25.5" x14ac:dyDescent="0.2">
      <c r="B582" s="263" t="s">
        <v>368</v>
      </c>
      <c r="C582" s="795" t="s">
        <v>369</v>
      </c>
      <c r="D582" s="796"/>
      <c r="E582" s="797"/>
      <c r="F582" s="795" t="s">
        <v>370</v>
      </c>
      <c r="G582" s="796"/>
      <c r="H582" s="797"/>
      <c r="I582" s="795" t="s">
        <v>371</v>
      </c>
      <c r="J582" s="797"/>
      <c r="K582" s="241" t="s">
        <v>372</v>
      </c>
      <c r="L582" s="242" t="s">
        <v>373</v>
      </c>
    </row>
    <row r="583" spans="2:12" x14ac:dyDescent="0.2">
      <c r="B583" s="243" t="s">
        <v>374</v>
      </c>
      <c r="C583" s="798" t="s">
        <v>407</v>
      </c>
      <c r="D583" s="799"/>
      <c r="E583" s="800"/>
      <c r="F583" s="801"/>
      <c r="G583" s="802"/>
      <c r="H583" s="418"/>
      <c r="I583" s="801"/>
      <c r="J583" s="802"/>
      <c r="K583" s="266"/>
      <c r="L583" s="245"/>
    </row>
    <row r="584" spans="2:12" x14ac:dyDescent="0.2">
      <c r="B584" s="243" t="s">
        <v>375</v>
      </c>
      <c r="C584" s="798" t="s">
        <v>407</v>
      </c>
      <c r="D584" s="799"/>
      <c r="E584" s="800"/>
      <c r="F584" s="801"/>
      <c r="G584" s="802"/>
      <c r="H584" s="418"/>
      <c r="I584" s="801"/>
      <c r="J584" s="802"/>
      <c r="K584" s="266"/>
      <c r="L584" s="245"/>
    </row>
    <row r="585" spans="2:12" x14ac:dyDescent="0.2">
      <c r="B585" s="243" t="s">
        <v>376</v>
      </c>
      <c r="C585" s="798" t="s">
        <v>407</v>
      </c>
      <c r="D585" s="799"/>
      <c r="E585" s="800"/>
      <c r="F585" s="801"/>
      <c r="G585" s="802"/>
      <c r="H585" s="418"/>
      <c r="I585" s="801"/>
      <c r="J585" s="802"/>
      <c r="K585" s="266"/>
      <c r="L585" s="245"/>
    </row>
    <row r="586" spans="2:12" x14ac:dyDescent="0.2">
      <c r="B586" s="805" t="s">
        <v>377</v>
      </c>
      <c r="C586" s="806"/>
      <c r="D586" s="806"/>
      <c r="E586" s="806"/>
      <c r="F586" s="806"/>
      <c r="G586" s="806"/>
      <c r="H586" s="806"/>
      <c r="I586" s="806"/>
      <c r="J586" s="807"/>
      <c r="K586" s="814" t="s">
        <v>378</v>
      </c>
      <c r="L586" s="815"/>
    </row>
    <row r="587" spans="2:12" x14ac:dyDescent="0.2">
      <c r="B587" s="808"/>
      <c r="C587" s="809"/>
      <c r="D587" s="809"/>
      <c r="E587" s="809"/>
      <c r="F587" s="809"/>
      <c r="G587" s="809"/>
      <c r="H587" s="809"/>
      <c r="I587" s="809"/>
      <c r="J587" s="810"/>
      <c r="K587" s="246" t="s">
        <v>379</v>
      </c>
      <c r="L587" s="245"/>
    </row>
    <row r="588" spans="2:12" x14ac:dyDescent="0.2">
      <c r="B588" s="808"/>
      <c r="C588" s="809"/>
      <c r="D588" s="809"/>
      <c r="E588" s="809"/>
      <c r="F588" s="809"/>
      <c r="G588" s="809"/>
      <c r="H588" s="809"/>
      <c r="I588" s="809"/>
      <c r="J588" s="810"/>
      <c r="K588" s="246" t="s">
        <v>380</v>
      </c>
      <c r="L588" s="245"/>
    </row>
    <row r="589" spans="2:12" ht="13.5" thickBot="1" x14ac:dyDescent="0.25">
      <c r="B589" s="811"/>
      <c r="C589" s="812"/>
      <c r="D589" s="812"/>
      <c r="E589" s="812"/>
      <c r="F589" s="812"/>
      <c r="G589" s="812"/>
      <c r="H589" s="812"/>
      <c r="I589" s="812"/>
      <c r="J589" s="813"/>
      <c r="K589" s="247" t="s">
        <v>381</v>
      </c>
      <c r="L589" s="248"/>
    </row>
    <row r="590" spans="2:12" x14ac:dyDescent="0.2">
      <c r="B590" s="362"/>
      <c r="C590" s="360"/>
      <c r="D590" s="360"/>
      <c r="E590" s="360"/>
      <c r="F590" s="360"/>
      <c r="G590" s="360"/>
      <c r="H590" s="360"/>
      <c r="I590" s="360"/>
      <c r="J590" s="360"/>
      <c r="K590" s="361"/>
      <c r="L590" s="412"/>
    </row>
    <row r="591" spans="2:12" x14ac:dyDescent="0.2">
      <c r="B591" s="364"/>
      <c r="C591" s="365"/>
      <c r="D591" s="365"/>
      <c r="E591" s="365"/>
      <c r="F591" s="365"/>
      <c r="G591" s="365"/>
      <c r="H591" s="365"/>
      <c r="I591" s="365"/>
      <c r="J591" s="365"/>
      <c r="K591" s="365"/>
      <c r="L591" s="366"/>
    </row>
    <row r="592" spans="2:12" x14ac:dyDescent="0.2">
      <c r="B592" s="758" t="s">
        <v>382</v>
      </c>
      <c r="C592" s="759"/>
      <c r="D592" s="759"/>
      <c r="E592" s="759"/>
      <c r="F592" s="759"/>
      <c r="G592" s="759"/>
      <c r="H592" s="759"/>
      <c r="I592" s="759"/>
      <c r="J592" s="759"/>
      <c r="K592" s="759"/>
      <c r="L592" s="760"/>
    </row>
    <row r="593" spans="2:12" x14ac:dyDescent="0.2">
      <c r="B593" s="300">
        <v>1</v>
      </c>
      <c r="C593" s="745" t="s">
        <v>484</v>
      </c>
      <c r="D593" s="746"/>
      <c r="E593" s="746"/>
      <c r="F593" s="746"/>
      <c r="G593" s="746"/>
      <c r="H593" s="746"/>
      <c r="I593" s="746"/>
      <c r="J593" s="746"/>
      <c r="K593" s="746"/>
      <c r="L593" s="747"/>
    </row>
    <row r="594" spans="2:12" x14ac:dyDescent="0.2">
      <c r="B594" s="427">
        <v>2</v>
      </c>
      <c r="C594" s="748" t="s">
        <v>485</v>
      </c>
      <c r="D594" s="749"/>
      <c r="E594" s="749"/>
      <c r="F594" s="749"/>
      <c r="G594" s="749"/>
      <c r="H594" s="749"/>
      <c r="I594" s="749"/>
      <c r="J594" s="749"/>
      <c r="K594" s="749"/>
      <c r="L594" s="750"/>
    </row>
    <row r="595" spans="2:12" x14ac:dyDescent="0.2">
      <c r="B595" s="339">
        <v>3</v>
      </c>
      <c r="C595" s="745" t="s">
        <v>491</v>
      </c>
      <c r="D595" s="746"/>
      <c r="E595" s="746"/>
      <c r="F595" s="746"/>
      <c r="G595" s="746"/>
      <c r="H595" s="746"/>
      <c r="I595" s="746"/>
      <c r="J595" s="746"/>
      <c r="K595" s="746"/>
      <c r="L595" s="747"/>
    </row>
    <row r="596" spans="2:12" x14ac:dyDescent="0.2">
      <c r="B596" s="429">
        <v>4</v>
      </c>
      <c r="C596" s="745" t="s">
        <v>492</v>
      </c>
      <c r="D596" s="746"/>
      <c r="E596" s="746"/>
      <c r="F596" s="746"/>
      <c r="G596" s="746"/>
      <c r="H596" s="746"/>
      <c r="I596" s="746"/>
      <c r="J596" s="746"/>
      <c r="K596" s="746"/>
      <c r="L596" s="747"/>
    </row>
    <row r="597" spans="2:12" x14ac:dyDescent="0.2">
      <c r="B597" s="339">
        <v>5</v>
      </c>
      <c r="C597" s="748" t="s">
        <v>483</v>
      </c>
      <c r="D597" s="749"/>
      <c r="E597" s="749"/>
      <c r="F597" s="749"/>
      <c r="G597" s="749"/>
      <c r="H597" s="749"/>
      <c r="I597" s="749"/>
      <c r="J597" s="749"/>
      <c r="K597" s="749"/>
      <c r="L597" s="750"/>
    </row>
    <row r="598" spans="2:12" x14ac:dyDescent="0.2">
      <c r="B598" s="356">
        <v>6</v>
      </c>
      <c r="C598" s="748" t="s">
        <v>486</v>
      </c>
      <c r="D598" s="749"/>
      <c r="E598" s="749"/>
      <c r="F598" s="749"/>
      <c r="G598" s="749"/>
      <c r="H598" s="749"/>
      <c r="I598" s="749"/>
      <c r="J598" s="749"/>
      <c r="K598" s="749"/>
      <c r="L598" s="750"/>
    </row>
    <row r="599" spans="2:12" x14ac:dyDescent="0.2">
      <c r="B599" s="429">
        <v>7</v>
      </c>
      <c r="C599" s="748" t="s">
        <v>487</v>
      </c>
      <c r="D599" s="749"/>
      <c r="E599" s="749"/>
      <c r="F599" s="749"/>
      <c r="G599" s="749"/>
      <c r="H599" s="749"/>
      <c r="I599" s="749"/>
      <c r="J599" s="749"/>
      <c r="K599" s="749"/>
      <c r="L599" s="750"/>
    </row>
    <row r="600" spans="2:12" x14ac:dyDescent="0.2">
      <c r="B600" s="429">
        <v>8</v>
      </c>
      <c r="C600" s="748" t="s">
        <v>489</v>
      </c>
      <c r="D600" s="749"/>
      <c r="E600" s="749"/>
      <c r="F600" s="749"/>
      <c r="G600" s="749"/>
      <c r="H600" s="749"/>
      <c r="I600" s="749"/>
      <c r="J600" s="749"/>
      <c r="K600" s="749"/>
      <c r="L600" s="750"/>
    </row>
    <row r="601" spans="2:12" x14ac:dyDescent="0.2">
      <c r="B601" s="429">
        <v>9</v>
      </c>
      <c r="C601" s="748" t="s">
        <v>490</v>
      </c>
      <c r="D601" s="749"/>
      <c r="E601" s="749"/>
      <c r="F601" s="749"/>
      <c r="G601" s="749"/>
      <c r="H601" s="749"/>
      <c r="I601" s="749"/>
      <c r="J601" s="749"/>
      <c r="K601" s="749"/>
      <c r="L601" s="750"/>
    </row>
    <row r="602" spans="2:12" x14ac:dyDescent="0.2">
      <c r="B602" s="429">
        <v>10</v>
      </c>
      <c r="C602" s="748" t="s">
        <v>495</v>
      </c>
      <c r="D602" s="749"/>
      <c r="E602" s="749"/>
      <c r="F602" s="749"/>
      <c r="G602" s="749"/>
      <c r="H602" s="749"/>
      <c r="I602" s="749"/>
      <c r="J602" s="749"/>
      <c r="K602" s="749"/>
      <c r="L602" s="750"/>
    </row>
    <row r="603" spans="2:12" x14ac:dyDescent="0.2">
      <c r="B603" s="356">
        <v>11</v>
      </c>
      <c r="C603" s="748" t="s">
        <v>488</v>
      </c>
      <c r="D603" s="749"/>
      <c r="E603" s="749"/>
      <c r="F603" s="749"/>
      <c r="G603" s="749"/>
      <c r="H603" s="749"/>
      <c r="I603" s="749"/>
      <c r="J603" s="749"/>
      <c r="K603" s="749"/>
      <c r="L603" s="750"/>
    </row>
    <row r="604" spans="2:12" x14ac:dyDescent="0.2">
      <c r="B604" s="429">
        <v>12</v>
      </c>
      <c r="C604" s="748" t="s">
        <v>496</v>
      </c>
      <c r="D604" s="749"/>
      <c r="E604" s="749"/>
      <c r="F604" s="749"/>
      <c r="G604" s="749"/>
      <c r="H604" s="749"/>
      <c r="I604" s="749"/>
      <c r="J604" s="749"/>
      <c r="K604" s="749"/>
      <c r="L604" s="750"/>
    </row>
    <row r="605" spans="2:12" x14ac:dyDescent="0.2">
      <c r="B605" s="356">
        <v>13</v>
      </c>
      <c r="C605" s="748" t="s">
        <v>494</v>
      </c>
      <c r="D605" s="749"/>
      <c r="E605" s="749"/>
      <c r="F605" s="749"/>
      <c r="G605" s="749"/>
      <c r="H605" s="749"/>
      <c r="I605" s="749"/>
      <c r="J605" s="749"/>
      <c r="K605" s="749"/>
      <c r="L605" s="750"/>
    </row>
    <row r="606" spans="2:12" x14ac:dyDescent="0.2">
      <c r="B606" s="300"/>
      <c r="C606" s="748"/>
      <c r="D606" s="749"/>
      <c r="E606" s="749"/>
      <c r="F606" s="749"/>
      <c r="G606" s="749"/>
      <c r="H606" s="749"/>
      <c r="I606" s="749"/>
      <c r="J606" s="749"/>
      <c r="K606" s="749"/>
      <c r="L606" s="750"/>
    </row>
    <row r="607" spans="2:12" x14ac:dyDescent="0.2">
      <c r="B607" s="758" t="s">
        <v>386</v>
      </c>
      <c r="C607" s="759"/>
      <c r="D607" s="759"/>
      <c r="E607" s="759"/>
      <c r="F607" s="759"/>
      <c r="G607" s="759"/>
      <c r="H607" s="759"/>
      <c r="I607" s="759"/>
      <c r="J607" s="759"/>
      <c r="K607" s="759"/>
      <c r="L607" s="760"/>
    </row>
    <row r="608" spans="2:12" x14ac:dyDescent="0.2">
      <c r="B608" s="269"/>
      <c r="C608" s="757"/>
      <c r="D608" s="746"/>
      <c r="E608" s="746"/>
      <c r="F608" s="746"/>
      <c r="G608" s="746"/>
      <c r="H608" s="746"/>
      <c r="I608" s="746"/>
      <c r="J608" s="746"/>
      <c r="K608" s="746"/>
      <c r="L608" s="747"/>
    </row>
    <row r="609" spans="2:12" x14ac:dyDescent="0.2">
      <c r="B609" s="269"/>
      <c r="C609" s="757"/>
      <c r="D609" s="746"/>
      <c r="E609" s="746"/>
      <c r="F609" s="746"/>
      <c r="G609" s="746"/>
      <c r="H609" s="746"/>
      <c r="I609" s="746"/>
      <c r="J609" s="746"/>
      <c r="K609" s="746"/>
      <c r="L609" s="747"/>
    </row>
    <row r="610" spans="2:12" x14ac:dyDescent="0.2">
      <c r="B610" s="269"/>
      <c r="C610" s="757"/>
      <c r="D610" s="746"/>
      <c r="E610" s="746"/>
      <c r="F610" s="746"/>
      <c r="G610" s="746"/>
      <c r="H610" s="746"/>
      <c r="I610" s="746"/>
      <c r="J610" s="746"/>
      <c r="K610" s="746"/>
      <c r="L610" s="747"/>
    </row>
    <row r="611" spans="2:12" x14ac:dyDescent="0.2">
      <c r="B611" s="758" t="s">
        <v>387</v>
      </c>
      <c r="C611" s="759"/>
      <c r="D611" s="759"/>
      <c r="E611" s="759"/>
      <c r="F611" s="759"/>
      <c r="G611" s="759"/>
      <c r="H611" s="759"/>
      <c r="I611" s="759"/>
      <c r="J611" s="759"/>
      <c r="K611" s="759"/>
      <c r="L611" s="760"/>
    </row>
    <row r="612" spans="2:12" x14ac:dyDescent="0.2">
      <c r="B612" s="269">
        <v>1</v>
      </c>
      <c r="C612" s="745" t="s">
        <v>493</v>
      </c>
      <c r="D612" s="746"/>
      <c r="E612" s="746"/>
      <c r="F612" s="746"/>
      <c r="G612" s="746"/>
      <c r="H612" s="746"/>
      <c r="I612" s="746"/>
      <c r="J612" s="746"/>
      <c r="K612" s="746"/>
      <c r="L612" s="747"/>
    </row>
    <row r="613" spans="2:12" x14ac:dyDescent="0.2">
      <c r="B613" s="269"/>
      <c r="C613" s="745"/>
      <c r="D613" s="746"/>
      <c r="E613" s="746"/>
      <c r="F613" s="746"/>
      <c r="G613" s="746"/>
      <c r="H613" s="746"/>
      <c r="I613" s="746"/>
      <c r="J613" s="746"/>
      <c r="K613" s="746"/>
      <c r="L613" s="747"/>
    </row>
    <row r="614" spans="2:12" x14ac:dyDescent="0.2">
      <c r="B614" s="368"/>
      <c r="C614" s="745"/>
      <c r="D614" s="746"/>
      <c r="E614" s="746"/>
      <c r="F614" s="746"/>
      <c r="G614" s="746"/>
      <c r="H614" s="746"/>
      <c r="I614" s="746"/>
      <c r="J614" s="746"/>
      <c r="K614" s="746"/>
      <c r="L614" s="747"/>
    </row>
    <row r="615" spans="2:12" x14ac:dyDescent="0.2">
      <c r="B615" s="761" t="s">
        <v>383</v>
      </c>
      <c r="C615" s="762"/>
      <c r="D615" s="762"/>
      <c r="E615" s="762"/>
      <c r="F615" s="762"/>
      <c r="G615" s="762"/>
      <c r="H615" s="762"/>
      <c r="I615" s="762"/>
      <c r="J615" s="762"/>
      <c r="K615" s="762"/>
      <c r="L615" s="763"/>
    </row>
    <row r="616" spans="2:12" x14ac:dyDescent="0.2">
      <c r="B616" s="764" t="s">
        <v>446</v>
      </c>
      <c r="C616" s="746"/>
      <c r="D616" s="746"/>
      <c r="E616" s="746"/>
      <c r="F616" s="746"/>
      <c r="G616" s="746"/>
      <c r="H616" s="746"/>
      <c r="I616" s="746"/>
      <c r="J616" s="746"/>
      <c r="K616" s="746"/>
      <c r="L616" s="747"/>
    </row>
    <row r="617" spans="2:12" x14ac:dyDescent="0.2">
      <c r="B617" s="764"/>
      <c r="C617" s="746"/>
      <c r="D617" s="746"/>
      <c r="E617" s="746"/>
      <c r="F617" s="746"/>
      <c r="G617" s="746"/>
      <c r="H617" s="746"/>
      <c r="I617" s="746"/>
      <c r="J617" s="746"/>
      <c r="K617" s="746"/>
      <c r="L617" s="747"/>
    </row>
    <row r="618" spans="2:12" x14ac:dyDescent="0.2">
      <c r="B618" s="764"/>
      <c r="C618" s="746"/>
      <c r="D618" s="746"/>
      <c r="E618" s="746"/>
      <c r="F618" s="746"/>
      <c r="G618" s="746"/>
      <c r="H618" s="746"/>
      <c r="I618" s="746"/>
      <c r="J618" s="746"/>
      <c r="K618" s="746"/>
      <c r="L618" s="747"/>
    </row>
    <row r="619" spans="2:12" x14ac:dyDescent="0.2">
      <c r="B619" s="764"/>
      <c r="C619" s="746"/>
      <c r="D619" s="746"/>
      <c r="E619" s="746"/>
      <c r="F619" s="746"/>
      <c r="G619" s="746"/>
      <c r="H619" s="746"/>
      <c r="I619" s="746"/>
      <c r="J619" s="746"/>
      <c r="K619" s="746"/>
      <c r="L619" s="747"/>
    </row>
    <row r="620" spans="2:12" x14ac:dyDescent="0.2">
      <c r="B620" s="768"/>
      <c r="C620" s="769"/>
      <c r="D620" s="769"/>
      <c r="E620" s="769"/>
      <c r="F620" s="769"/>
      <c r="G620" s="413"/>
      <c r="H620" s="769"/>
      <c r="I620" s="769"/>
      <c r="J620" s="769"/>
      <c r="K620" s="769"/>
      <c r="L620" s="774"/>
    </row>
    <row r="621" spans="2:12" x14ac:dyDescent="0.2">
      <c r="B621" s="770"/>
      <c r="C621" s="771"/>
      <c r="D621" s="771"/>
      <c r="E621" s="771"/>
      <c r="F621" s="771"/>
      <c r="G621" s="414"/>
      <c r="H621" s="771"/>
      <c r="I621" s="771"/>
      <c r="J621" s="771"/>
      <c r="K621" s="771"/>
      <c r="L621" s="775"/>
    </row>
    <row r="622" spans="2:12" x14ac:dyDescent="0.2">
      <c r="B622" s="770"/>
      <c r="C622" s="771"/>
      <c r="D622" s="771"/>
      <c r="E622" s="771"/>
      <c r="F622" s="771"/>
      <c r="G622" s="414"/>
      <c r="H622" s="771"/>
      <c r="I622" s="771"/>
      <c r="J622" s="771"/>
      <c r="K622" s="771"/>
      <c r="L622" s="775"/>
    </row>
    <row r="623" spans="2:12" x14ac:dyDescent="0.2">
      <c r="B623" s="772"/>
      <c r="C623" s="773"/>
      <c r="D623" s="773"/>
      <c r="E623" s="773"/>
      <c r="F623" s="773"/>
      <c r="G623" s="415"/>
      <c r="H623" s="773"/>
      <c r="I623" s="773"/>
      <c r="J623" s="773"/>
      <c r="K623" s="773"/>
      <c r="L623" s="776"/>
    </row>
    <row r="624" spans="2:12" ht="13.5" thickBot="1" x14ac:dyDescent="0.25">
      <c r="B624" s="751" t="s">
        <v>384</v>
      </c>
      <c r="C624" s="752"/>
      <c r="D624" s="752"/>
      <c r="E624" s="752"/>
      <c r="F624" s="752"/>
      <c r="G624" s="416"/>
      <c r="H624" s="752" t="s">
        <v>385</v>
      </c>
      <c r="I624" s="752"/>
      <c r="J624" s="752"/>
      <c r="K624" s="752"/>
      <c r="L624" s="753"/>
    </row>
    <row r="626" spans="2:12" ht="13.5" thickBot="1" x14ac:dyDescent="0.25"/>
    <row r="627" spans="2:12" ht="23.25" x14ac:dyDescent="0.2">
      <c r="B627" s="862" t="s">
        <v>336</v>
      </c>
      <c r="C627" s="863"/>
      <c r="D627" s="863"/>
      <c r="E627" s="863"/>
      <c r="F627" s="863"/>
      <c r="G627" s="863"/>
      <c r="H627" s="863"/>
      <c r="I627" s="863"/>
      <c r="J627" s="863"/>
      <c r="K627" s="863"/>
      <c r="L627" s="864"/>
    </row>
    <row r="628" spans="2:12" ht="20.25" x14ac:dyDescent="0.2">
      <c r="B628" s="20"/>
      <c r="C628" s="21"/>
      <c r="D628" s="210"/>
      <c r="E628" s="210"/>
      <c r="F628" s="210"/>
      <c r="G628" s="210"/>
      <c r="H628" s="210"/>
      <c r="I628" s="210"/>
      <c r="J628" s="210"/>
      <c r="K628" s="211" t="str">
        <f>("DATA ATUAL:"&amp;"    "&amp;UPPER(LEFT(TEXT(L628,"DDDD"),7)))</f>
        <v>DATA ATUAL:    QUARTA-</v>
      </c>
      <c r="L628" s="253">
        <v>44678</v>
      </c>
    </row>
    <row r="629" spans="2:12" ht="20.25" x14ac:dyDescent="0.2">
      <c r="B629" s="20"/>
      <c r="C629" s="21"/>
      <c r="D629" s="212"/>
      <c r="E629" s="212"/>
      <c r="F629" s="212"/>
      <c r="G629" s="212"/>
      <c r="H629" s="212"/>
      <c r="I629" s="212"/>
      <c r="J629" s="212"/>
      <c r="K629" s="211" t="s">
        <v>337</v>
      </c>
      <c r="L629" s="359">
        <v>8</v>
      </c>
    </row>
    <row r="630" spans="2:12" ht="20.25" x14ac:dyDescent="0.2">
      <c r="B630" s="20"/>
      <c r="C630" s="21"/>
      <c r="D630" s="865" t="s">
        <v>338</v>
      </c>
      <c r="E630" s="865"/>
      <c r="F630" s="865"/>
      <c r="G630" s="865"/>
      <c r="H630" s="865"/>
      <c r="I630" s="865"/>
      <c r="J630" s="212"/>
      <c r="K630" s="211" t="s">
        <v>339</v>
      </c>
      <c r="L630" s="255">
        <f>IFERROR(IF(AND(L635&gt;0,L634&gt;0),L635-L634,0),"")</f>
        <v>31</v>
      </c>
    </row>
    <row r="631" spans="2:12" x14ac:dyDescent="0.2">
      <c r="B631" s="20"/>
      <c r="C631" s="21"/>
      <c r="D631" s="866" t="s">
        <v>340</v>
      </c>
      <c r="E631" s="866"/>
      <c r="F631" s="866"/>
      <c r="G631" s="866"/>
      <c r="H631" s="866"/>
      <c r="I631" s="866"/>
      <c r="J631" s="213"/>
      <c r="K631" s="211" t="s">
        <v>341</v>
      </c>
      <c r="L631" s="255">
        <f>IF(OR(AND(K679&lt;&gt;"",K680&lt;&gt;"",K681&lt;&gt;""),AND(D675&lt;&gt;"",F675&lt;&gt;"")),IF(L634&gt;0,NETWORKDAYS.INTL(L634,L628,11),0),IF(L634&gt;0,NETWORKDAYS.INTL(L634,L628,11),0))</f>
        <v>8</v>
      </c>
    </row>
    <row r="632" spans="2:12" x14ac:dyDescent="0.2">
      <c r="B632" s="20"/>
      <c r="C632" s="21"/>
      <c r="D632" s="867" t="s">
        <v>342</v>
      </c>
      <c r="E632" s="867"/>
      <c r="F632" s="867"/>
      <c r="G632" s="867"/>
      <c r="H632" s="867"/>
      <c r="I632" s="867"/>
      <c r="J632" s="214"/>
      <c r="K632" s="211" t="s">
        <v>343</v>
      </c>
      <c r="L632" s="255">
        <f>IFERROR(L630-L631,"")</f>
        <v>23</v>
      </c>
    </row>
    <row r="633" spans="2:12" x14ac:dyDescent="0.2">
      <c r="B633" s="758" t="s">
        <v>344</v>
      </c>
      <c r="C633" s="759"/>
      <c r="D633" s="759"/>
      <c r="E633" s="759"/>
      <c r="F633" s="759"/>
      <c r="G633" s="759"/>
      <c r="H633" s="759"/>
      <c r="I633" s="759"/>
      <c r="J633" s="759"/>
      <c r="K633" s="759"/>
      <c r="L633" s="760"/>
    </row>
    <row r="634" spans="2:12" x14ac:dyDescent="0.2">
      <c r="B634" s="868" t="s">
        <v>345</v>
      </c>
      <c r="C634" s="852"/>
      <c r="D634" s="852" t="s">
        <v>404</v>
      </c>
      <c r="E634" s="852"/>
      <c r="F634" s="852"/>
      <c r="G634" s="852"/>
      <c r="H634" s="852"/>
      <c r="I634" s="852"/>
      <c r="J634" s="852"/>
      <c r="K634" s="216" t="s">
        <v>346</v>
      </c>
      <c r="L634" s="217">
        <v>44670</v>
      </c>
    </row>
    <row r="635" spans="2:12" x14ac:dyDescent="0.2">
      <c r="B635" s="443" t="s">
        <v>347</v>
      </c>
      <c r="C635" s="852"/>
      <c r="D635" s="852"/>
      <c r="E635" s="852"/>
      <c r="F635" s="852"/>
      <c r="G635" s="852"/>
      <c r="H635" s="852"/>
      <c r="I635" s="852"/>
      <c r="J635" s="852"/>
      <c r="K635" s="216" t="s">
        <v>348</v>
      </c>
      <c r="L635" s="217">
        <v>44701</v>
      </c>
    </row>
    <row r="636" spans="2:12" x14ac:dyDescent="0.2">
      <c r="B636" s="868" t="s">
        <v>349</v>
      </c>
      <c r="C636" s="852"/>
      <c r="D636" s="852" t="s">
        <v>405</v>
      </c>
      <c r="E636" s="852"/>
      <c r="F636" s="852"/>
      <c r="G636" s="852"/>
      <c r="H636" s="852"/>
      <c r="I636" s="852"/>
      <c r="J636" s="852"/>
      <c r="K636" s="852"/>
      <c r="L636" s="853"/>
    </row>
    <row r="637" spans="2:12" x14ac:dyDescent="0.2">
      <c r="B637" s="868" t="s">
        <v>350</v>
      </c>
      <c r="C637" s="869"/>
      <c r="D637" s="869"/>
      <c r="E637" s="852" t="s">
        <v>402</v>
      </c>
      <c r="F637" s="852"/>
      <c r="G637" s="852"/>
      <c r="H637" s="852"/>
      <c r="I637" s="852"/>
      <c r="J637" s="852"/>
      <c r="K637" s="852"/>
      <c r="L637" s="853"/>
    </row>
    <row r="638" spans="2:12" x14ac:dyDescent="0.2">
      <c r="B638" s="443" t="s">
        <v>351</v>
      </c>
      <c r="C638" s="444"/>
      <c r="D638" s="870"/>
      <c r="E638" s="870"/>
      <c r="F638" s="870"/>
      <c r="G638" s="870"/>
      <c r="H638" s="870"/>
      <c r="I638" s="870"/>
      <c r="J638" s="870"/>
      <c r="K638" s="870"/>
      <c r="L638" s="871"/>
    </row>
    <row r="639" spans="2:12" x14ac:dyDescent="0.2">
      <c r="B639" s="758" t="s">
        <v>352</v>
      </c>
      <c r="C639" s="759"/>
      <c r="D639" s="759"/>
      <c r="E639" s="759"/>
      <c r="F639" s="759"/>
      <c r="G639" s="759"/>
      <c r="H639" s="759"/>
      <c r="I639" s="759"/>
      <c r="J639" s="759"/>
      <c r="K639" s="759"/>
      <c r="L639" s="760"/>
    </row>
    <row r="640" spans="2:12" x14ac:dyDescent="0.2">
      <c r="B640" s="868" t="s">
        <v>353</v>
      </c>
      <c r="C640" s="869"/>
      <c r="D640" s="869"/>
      <c r="E640" s="852"/>
      <c r="F640" s="852"/>
      <c r="G640" s="852"/>
      <c r="H640" s="852"/>
      <c r="I640" s="852"/>
      <c r="J640" s="852"/>
      <c r="K640" s="852"/>
      <c r="L640" s="853"/>
    </row>
    <row r="641" spans="2:12" x14ac:dyDescent="0.2">
      <c r="B641" s="219" t="s">
        <v>321</v>
      </c>
      <c r="C641" s="852"/>
      <c r="D641" s="852"/>
      <c r="E641" s="852"/>
      <c r="F641" s="852"/>
      <c r="G641" s="852"/>
      <c r="H641" s="852"/>
      <c r="I641" s="852"/>
      <c r="J641" s="852"/>
      <c r="K641" s="852"/>
      <c r="L641" s="853"/>
    </row>
    <row r="642" spans="2:12" x14ac:dyDescent="0.2">
      <c r="B642" s="219" t="s">
        <v>351</v>
      </c>
      <c r="C642" s="852"/>
      <c r="D642" s="852"/>
      <c r="E642" s="852"/>
      <c r="F642" s="852"/>
      <c r="G642" s="852"/>
      <c r="H642" s="852"/>
      <c r="I642" s="852"/>
      <c r="J642" s="852"/>
      <c r="K642" s="852"/>
      <c r="L642" s="853"/>
    </row>
    <row r="643" spans="2:12" x14ac:dyDescent="0.2">
      <c r="B643" s="219" t="s">
        <v>354</v>
      </c>
      <c r="C643" s="852"/>
      <c r="D643" s="852"/>
      <c r="E643" s="852"/>
      <c r="F643" s="852"/>
      <c r="G643" s="852"/>
      <c r="H643" s="852"/>
      <c r="I643" s="852"/>
      <c r="J643" s="852"/>
      <c r="K643" s="852"/>
      <c r="L643" s="853"/>
    </row>
    <row r="644" spans="2:12" x14ac:dyDescent="0.2">
      <c r="B644" s="758" t="s">
        <v>355</v>
      </c>
      <c r="C644" s="759"/>
      <c r="D644" s="759"/>
      <c r="E644" s="759"/>
      <c r="F644" s="759"/>
      <c r="G644" s="759"/>
      <c r="H644" s="759"/>
      <c r="I644" s="759"/>
      <c r="J644" s="759"/>
      <c r="K644" s="759"/>
      <c r="L644" s="760"/>
    </row>
    <row r="645" spans="2:12" x14ac:dyDescent="0.2">
      <c r="B645" s="803" t="s">
        <v>356</v>
      </c>
      <c r="C645" s="782"/>
      <c r="D645" s="782"/>
      <c r="E645" s="782"/>
      <c r="F645" s="782"/>
      <c r="G645" s="782"/>
      <c r="H645" s="782"/>
      <c r="I645" s="782"/>
      <c r="J645" s="782"/>
      <c r="K645" s="782"/>
      <c r="L645" s="804"/>
    </row>
    <row r="646" spans="2:12" x14ac:dyDescent="0.2">
      <c r="B646" s="854" t="s">
        <v>357</v>
      </c>
      <c r="C646" s="824"/>
      <c r="D646" s="825"/>
      <c r="E646" s="840" t="s">
        <v>358</v>
      </c>
      <c r="F646" s="841"/>
      <c r="G646" s="841"/>
      <c r="H646" s="841"/>
      <c r="I646" s="841"/>
      <c r="J646" s="841"/>
      <c r="K646" s="842"/>
      <c r="L646" s="855" t="s">
        <v>359</v>
      </c>
    </row>
    <row r="647" spans="2:12" x14ac:dyDescent="0.2">
      <c r="B647" s="854"/>
      <c r="C647" s="824"/>
      <c r="D647" s="825"/>
      <c r="E647" s="843"/>
      <c r="F647" s="844"/>
      <c r="G647" s="844"/>
      <c r="H647" s="844"/>
      <c r="I647" s="844"/>
      <c r="J647" s="844"/>
      <c r="K647" s="845"/>
      <c r="L647" s="856"/>
    </row>
    <row r="648" spans="2:12" x14ac:dyDescent="0.2">
      <c r="B648" s="857" t="s">
        <v>400</v>
      </c>
      <c r="C648" s="746"/>
      <c r="D648" s="858"/>
      <c r="E648" s="748" t="s">
        <v>412</v>
      </c>
      <c r="F648" s="859"/>
      <c r="G648" s="859"/>
      <c r="H648" s="859"/>
      <c r="I648" s="859"/>
      <c r="J648" s="859"/>
      <c r="K648" s="858"/>
      <c r="L648" s="220">
        <v>2</v>
      </c>
    </row>
    <row r="649" spans="2:12" x14ac:dyDescent="0.2">
      <c r="B649" s="764" t="s">
        <v>416</v>
      </c>
      <c r="C649" s="746"/>
      <c r="D649" s="858"/>
      <c r="E649" s="860" t="s">
        <v>417</v>
      </c>
      <c r="F649" s="859"/>
      <c r="G649" s="859"/>
      <c r="H649" s="859"/>
      <c r="I649" s="859"/>
      <c r="J649" s="859"/>
      <c r="K649" s="858"/>
      <c r="L649" s="220">
        <v>1</v>
      </c>
    </row>
    <row r="650" spans="2:12" x14ac:dyDescent="0.2">
      <c r="B650" s="764" t="s">
        <v>411</v>
      </c>
      <c r="C650" s="859"/>
      <c r="D650" s="858"/>
      <c r="E650" s="860" t="s">
        <v>413</v>
      </c>
      <c r="F650" s="859"/>
      <c r="G650" s="859"/>
      <c r="H650" s="859"/>
      <c r="I650" s="859"/>
      <c r="J650" s="859"/>
      <c r="K650" s="858"/>
      <c r="L650" s="221">
        <v>1</v>
      </c>
    </row>
    <row r="651" spans="2:12" x14ac:dyDescent="0.2">
      <c r="B651" s="764"/>
      <c r="C651" s="859"/>
      <c r="D651" s="858"/>
      <c r="E651" s="860"/>
      <c r="F651" s="859"/>
      <c r="G651" s="859"/>
      <c r="H651" s="859"/>
      <c r="I651" s="859"/>
      <c r="J651" s="859"/>
      <c r="K651" s="858"/>
      <c r="L651" s="221"/>
    </row>
    <row r="652" spans="2:12" x14ac:dyDescent="0.2">
      <c r="B652" s="777" t="s">
        <v>360</v>
      </c>
      <c r="C652" s="861"/>
      <c r="D652" s="861"/>
      <c r="E652" s="861"/>
      <c r="F652" s="861"/>
      <c r="G652" s="861"/>
      <c r="H652" s="861"/>
      <c r="I652" s="861"/>
      <c r="J652" s="861"/>
      <c r="K652" s="779"/>
      <c r="L652" s="224">
        <f>SUM(L648:L651)</f>
        <v>4</v>
      </c>
    </row>
    <row r="653" spans="2:12" x14ac:dyDescent="0.2">
      <c r="B653" s="803" t="s">
        <v>361</v>
      </c>
      <c r="C653" s="782"/>
      <c r="D653" s="782"/>
      <c r="E653" s="782"/>
      <c r="F653" s="782"/>
      <c r="G653" s="782"/>
      <c r="H653" s="782"/>
      <c r="I653" s="782"/>
      <c r="J653" s="782"/>
      <c r="K653" s="782"/>
      <c r="L653" s="804"/>
    </row>
    <row r="654" spans="2:12" x14ac:dyDescent="0.2">
      <c r="B654" s="834" t="s">
        <v>362</v>
      </c>
      <c r="C654" s="840" t="s">
        <v>357</v>
      </c>
      <c r="D654" s="842"/>
      <c r="E654" s="840" t="s">
        <v>358</v>
      </c>
      <c r="F654" s="841"/>
      <c r="G654" s="841"/>
      <c r="H654" s="841"/>
      <c r="I654" s="841"/>
      <c r="J654" s="841"/>
      <c r="K654" s="842"/>
      <c r="L654" s="816" t="s">
        <v>359</v>
      </c>
    </row>
    <row r="655" spans="2:12" x14ac:dyDescent="0.2">
      <c r="B655" s="835"/>
      <c r="C655" s="843"/>
      <c r="D655" s="845"/>
      <c r="E655" s="843"/>
      <c r="F655" s="844"/>
      <c r="G655" s="844"/>
      <c r="H655" s="844"/>
      <c r="I655" s="844"/>
      <c r="J655" s="844"/>
      <c r="K655" s="845"/>
      <c r="L655" s="817"/>
    </row>
    <row r="656" spans="2:12" x14ac:dyDescent="0.2">
      <c r="B656" s="441"/>
      <c r="C656" s="818"/>
      <c r="D656" s="819"/>
      <c r="E656" s="820"/>
      <c r="F656" s="821"/>
      <c r="G656" s="821"/>
      <c r="H656" s="821"/>
      <c r="I656" s="821"/>
      <c r="J656" s="821"/>
      <c r="K656" s="822"/>
      <c r="L656" s="442"/>
    </row>
    <row r="657" spans="2:12" x14ac:dyDescent="0.2">
      <c r="B657" s="441"/>
      <c r="C657" s="818"/>
      <c r="D657" s="819"/>
      <c r="E657" s="820"/>
      <c r="F657" s="821"/>
      <c r="G657" s="821"/>
      <c r="H657" s="821"/>
      <c r="I657" s="821"/>
      <c r="J657" s="821"/>
      <c r="K657" s="822"/>
      <c r="L657" s="442"/>
    </row>
    <row r="658" spans="2:12" x14ac:dyDescent="0.2">
      <c r="B658" s="441"/>
      <c r="C658" s="818"/>
      <c r="D658" s="819"/>
      <c r="E658" s="823"/>
      <c r="F658" s="824"/>
      <c r="G658" s="824"/>
      <c r="H658" s="824"/>
      <c r="I658" s="824"/>
      <c r="J658" s="824"/>
      <c r="K658" s="825"/>
      <c r="L658" s="442"/>
    </row>
    <row r="659" spans="2:12" x14ac:dyDescent="0.2">
      <c r="B659" s="441"/>
      <c r="C659" s="818"/>
      <c r="D659" s="819"/>
      <c r="E659" s="823"/>
      <c r="F659" s="824"/>
      <c r="G659" s="824"/>
      <c r="H659" s="824"/>
      <c r="I659" s="824"/>
      <c r="J659" s="824"/>
      <c r="K659" s="825"/>
      <c r="L659" s="442"/>
    </row>
    <row r="660" spans="2:12" x14ac:dyDescent="0.2">
      <c r="B660" s="441"/>
      <c r="C660" s="818"/>
      <c r="D660" s="819"/>
      <c r="E660" s="823"/>
      <c r="F660" s="824"/>
      <c r="G660" s="824"/>
      <c r="H660" s="824"/>
      <c r="I660" s="824"/>
      <c r="J660" s="824"/>
      <c r="K660" s="825"/>
      <c r="L660" s="442"/>
    </row>
    <row r="661" spans="2:12" x14ac:dyDescent="0.2">
      <c r="B661" s="826" t="s">
        <v>360</v>
      </c>
      <c r="C661" s="827"/>
      <c r="D661" s="827"/>
      <c r="E661" s="827"/>
      <c r="F661" s="827"/>
      <c r="G661" s="827"/>
      <c r="H661" s="827"/>
      <c r="I661" s="827"/>
      <c r="J661" s="827"/>
      <c r="K661" s="828"/>
      <c r="L661" s="227">
        <f>SUM(L656:L660)</f>
        <v>0</v>
      </c>
    </row>
    <row r="662" spans="2:12" x14ac:dyDescent="0.2">
      <c r="B662" s="829" t="s">
        <v>406</v>
      </c>
      <c r="C662" s="830"/>
      <c r="D662" s="830"/>
      <c r="E662" s="830"/>
      <c r="F662" s="830"/>
      <c r="G662" s="830"/>
      <c r="H662" s="830"/>
      <c r="I662" s="830"/>
      <c r="J662" s="830"/>
      <c r="K662" s="831"/>
      <c r="L662" s="228">
        <f>L661+L652</f>
        <v>4</v>
      </c>
    </row>
    <row r="663" spans="2:12" x14ac:dyDescent="0.2">
      <c r="B663" s="758" t="s">
        <v>215</v>
      </c>
      <c r="C663" s="759"/>
      <c r="D663" s="759"/>
      <c r="E663" s="759"/>
      <c r="F663" s="759"/>
      <c r="G663" s="759"/>
      <c r="H663" s="759"/>
      <c r="I663" s="759"/>
      <c r="J663" s="759"/>
      <c r="K663" s="759"/>
      <c r="L663" s="760"/>
    </row>
    <row r="664" spans="2:12" x14ac:dyDescent="0.2">
      <c r="B664" s="803" t="s">
        <v>363</v>
      </c>
      <c r="C664" s="782"/>
      <c r="D664" s="782"/>
      <c r="E664" s="782"/>
      <c r="F664" s="782"/>
      <c r="G664" s="782"/>
      <c r="H664" s="782"/>
      <c r="I664" s="782"/>
      <c r="J664" s="803" t="s">
        <v>364</v>
      </c>
      <c r="K664" s="782"/>
      <c r="L664" s="804"/>
    </row>
    <row r="665" spans="2:12" x14ac:dyDescent="0.2">
      <c r="B665" s="834" t="s">
        <v>362</v>
      </c>
      <c r="C665" s="836" t="s">
        <v>29</v>
      </c>
      <c r="D665" s="837"/>
      <c r="E665" s="840" t="s">
        <v>1</v>
      </c>
      <c r="F665" s="841"/>
      <c r="G665" s="841"/>
      <c r="H665" s="842"/>
      <c r="I665" s="846" t="s">
        <v>359</v>
      </c>
      <c r="J665" s="848" t="s">
        <v>29</v>
      </c>
      <c r="K665" s="850" t="s">
        <v>1</v>
      </c>
      <c r="L665" s="846" t="s">
        <v>365</v>
      </c>
    </row>
    <row r="666" spans="2:12" x14ac:dyDescent="0.2">
      <c r="B666" s="835"/>
      <c r="C666" s="838"/>
      <c r="D666" s="839"/>
      <c r="E666" s="843"/>
      <c r="F666" s="844"/>
      <c r="G666" s="844"/>
      <c r="H666" s="845"/>
      <c r="I666" s="847"/>
      <c r="J666" s="849"/>
      <c r="K666" s="851"/>
      <c r="L666" s="847"/>
    </row>
    <row r="667" spans="2:12" x14ac:dyDescent="0.2">
      <c r="B667" s="229"/>
      <c r="C667" s="832"/>
      <c r="D667" s="822"/>
      <c r="E667" s="832"/>
      <c r="F667" s="833"/>
      <c r="G667" s="833"/>
      <c r="H667" s="822"/>
      <c r="I667" s="231"/>
      <c r="J667" s="440"/>
      <c r="K667" s="435"/>
      <c r="L667" s="221"/>
    </row>
    <row r="668" spans="2:12" x14ac:dyDescent="0.2">
      <c r="B668" s="229"/>
      <c r="C668" s="832"/>
      <c r="D668" s="822"/>
      <c r="E668" s="832"/>
      <c r="F668" s="833"/>
      <c r="G668" s="833"/>
      <c r="H668" s="822"/>
      <c r="I668" s="234"/>
      <c r="J668" s="235"/>
      <c r="K668" s="236"/>
      <c r="L668" s="237"/>
    </row>
    <row r="669" spans="2:12" x14ac:dyDescent="0.2">
      <c r="B669" s="229"/>
      <c r="C669" s="832"/>
      <c r="D669" s="822"/>
      <c r="E669" s="832"/>
      <c r="F669" s="833"/>
      <c r="G669" s="833"/>
      <c r="H669" s="822"/>
      <c r="I669" s="239"/>
      <c r="J669" s="230"/>
      <c r="K669" s="238"/>
      <c r="L669" s="220"/>
    </row>
    <row r="670" spans="2:12" x14ac:dyDescent="0.2">
      <c r="B670" s="777" t="s">
        <v>366</v>
      </c>
      <c r="C670" s="778"/>
      <c r="D670" s="778"/>
      <c r="E670" s="778"/>
      <c r="F670" s="778"/>
      <c r="G670" s="778"/>
      <c r="H670" s="779"/>
      <c r="I670" s="252">
        <f>SUM(I667:I669)</f>
        <v>0</v>
      </c>
      <c r="J670" s="780" t="s">
        <v>366</v>
      </c>
      <c r="K670" s="781"/>
      <c r="L670" s="240">
        <f>SUM(L667:L669)</f>
        <v>0</v>
      </c>
    </row>
    <row r="671" spans="2:12" x14ac:dyDescent="0.2">
      <c r="B671" s="777" t="s">
        <v>27</v>
      </c>
      <c r="C671" s="778"/>
      <c r="D671" s="778"/>
      <c r="E671" s="778"/>
      <c r="F671" s="778"/>
      <c r="G671" s="778"/>
      <c r="H671" s="778"/>
      <c r="I671" s="778"/>
      <c r="J671" s="778"/>
      <c r="K671" s="779"/>
      <c r="L671" s="240">
        <f>L670+I670</f>
        <v>0</v>
      </c>
    </row>
    <row r="672" spans="2:12" x14ac:dyDescent="0.2">
      <c r="B672" s="758" t="s">
        <v>388</v>
      </c>
      <c r="C672" s="759"/>
      <c r="D672" s="759"/>
      <c r="E672" s="759"/>
      <c r="F672" s="759"/>
      <c r="G672" s="759"/>
      <c r="H672" s="759"/>
      <c r="I672" s="759"/>
      <c r="J672" s="759"/>
      <c r="K672" s="759"/>
      <c r="L672" s="760"/>
    </row>
    <row r="673" spans="2:12" x14ac:dyDescent="0.2">
      <c r="B673" s="803" t="s">
        <v>368</v>
      </c>
      <c r="C673" s="782"/>
      <c r="D673" s="804"/>
      <c r="E673" s="782" t="s">
        <v>394</v>
      </c>
      <c r="F673" s="782"/>
      <c r="G673" s="783" t="s">
        <v>389</v>
      </c>
      <c r="H673" s="784"/>
      <c r="I673" s="784"/>
      <c r="J673" s="784"/>
      <c r="K673" s="784"/>
      <c r="L673" s="785"/>
    </row>
    <row r="674" spans="2:12" x14ac:dyDescent="0.2">
      <c r="B674" s="786" t="s">
        <v>393</v>
      </c>
      <c r="C674" s="787"/>
      <c r="D674" s="265" t="s">
        <v>390</v>
      </c>
      <c r="E674" s="438" t="s">
        <v>391</v>
      </c>
      <c r="F674" s="264" t="s">
        <v>392</v>
      </c>
      <c r="G674" s="437"/>
      <c r="H674" s="438"/>
      <c r="I674" s="438"/>
      <c r="J674" s="438"/>
      <c r="K674" s="438"/>
      <c r="L674" s="439"/>
    </row>
    <row r="675" spans="2:12" x14ac:dyDescent="0.2">
      <c r="B675" s="324"/>
      <c r="C675" s="324"/>
      <c r="D675" s="788"/>
      <c r="E675" s="268"/>
      <c r="F675" s="790"/>
      <c r="G675" s="783"/>
      <c r="H675" s="784"/>
      <c r="I675" s="784"/>
      <c r="J675" s="784"/>
      <c r="K675" s="784"/>
      <c r="L675" s="785"/>
    </row>
    <row r="676" spans="2:12" x14ac:dyDescent="0.2">
      <c r="B676" s="324"/>
      <c r="C676" s="324"/>
      <c r="D676" s="789"/>
      <c r="E676" s="268"/>
      <c r="F676" s="791"/>
      <c r="G676" s="783"/>
      <c r="H676" s="784"/>
      <c r="I676" s="784"/>
      <c r="J676" s="784"/>
      <c r="K676" s="784"/>
      <c r="L676" s="785"/>
    </row>
    <row r="677" spans="2:12" x14ac:dyDescent="0.2">
      <c r="B677" s="792" t="s">
        <v>367</v>
      </c>
      <c r="C677" s="793"/>
      <c r="D677" s="793"/>
      <c r="E677" s="793"/>
      <c r="F677" s="793"/>
      <c r="G677" s="793"/>
      <c r="H677" s="793"/>
      <c r="I677" s="793"/>
      <c r="J677" s="793"/>
      <c r="K677" s="793"/>
      <c r="L677" s="794"/>
    </row>
    <row r="678" spans="2:12" ht="25.5" x14ac:dyDescent="0.2">
      <c r="B678" s="263" t="s">
        <v>368</v>
      </c>
      <c r="C678" s="795" t="s">
        <v>369</v>
      </c>
      <c r="D678" s="796"/>
      <c r="E678" s="797"/>
      <c r="F678" s="795" t="s">
        <v>370</v>
      </c>
      <c r="G678" s="796"/>
      <c r="H678" s="797"/>
      <c r="I678" s="795" t="s">
        <v>371</v>
      </c>
      <c r="J678" s="797"/>
      <c r="K678" s="241" t="s">
        <v>372</v>
      </c>
      <c r="L678" s="242" t="s">
        <v>373</v>
      </c>
    </row>
    <row r="679" spans="2:12" x14ac:dyDescent="0.2">
      <c r="B679" s="243" t="s">
        <v>374</v>
      </c>
      <c r="C679" s="798" t="s">
        <v>407</v>
      </c>
      <c r="D679" s="799"/>
      <c r="E679" s="800"/>
      <c r="F679" s="801"/>
      <c r="G679" s="802"/>
      <c r="H679" s="436"/>
      <c r="I679" s="801"/>
      <c r="J679" s="802"/>
      <c r="K679" s="266"/>
      <c r="L679" s="245"/>
    </row>
    <row r="680" spans="2:12" x14ac:dyDescent="0.2">
      <c r="B680" s="243" t="s">
        <v>375</v>
      </c>
      <c r="C680" s="798" t="s">
        <v>407</v>
      </c>
      <c r="D680" s="799"/>
      <c r="E680" s="800"/>
      <c r="F680" s="801"/>
      <c r="G680" s="802"/>
      <c r="H680" s="436"/>
      <c r="I680" s="801"/>
      <c r="J680" s="802"/>
      <c r="K680" s="266"/>
      <c r="L680" s="245"/>
    </row>
    <row r="681" spans="2:12" x14ac:dyDescent="0.2">
      <c r="B681" s="243" t="s">
        <v>376</v>
      </c>
      <c r="C681" s="798" t="s">
        <v>407</v>
      </c>
      <c r="D681" s="799"/>
      <c r="E681" s="800"/>
      <c r="F681" s="801"/>
      <c r="G681" s="802"/>
      <c r="H681" s="436"/>
      <c r="I681" s="801"/>
      <c r="J681" s="802"/>
      <c r="K681" s="266"/>
      <c r="L681" s="245"/>
    </row>
    <row r="682" spans="2:12" x14ac:dyDescent="0.2">
      <c r="B682" s="805" t="s">
        <v>377</v>
      </c>
      <c r="C682" s="806"/>
      <c r="D682" s="806"/>
      <c r="E682" s="806"/>
      <c r="F682" s="806"/>
      <c r="G682" s="806"/>
      <c r="H682" s="806"/>
      <c r="I682" s="806"/>
      <c r="J682" s="807"/>
      <c r="K682" s="814" t="s">
        <v>378</v>
      </c>
      <c r="L682" s="815"/>
    </row>
    <row r="683" spans="2:12" x14ac:dyDescent="0.2">
      <c r="B683" s="808"/>
      <c r="C683" s="809"/>
      <c r="D683" s="809"/>
      <c r="E683" s="809"/>
      <c r="F683" s="809"/>
      <c r="G683" s="809"/>
      <c r="H683" s="809"/>
      <c r="I683" s="809"/>
      <c r="J683" s="810"/>
      <c r="K683" s="246" t="s">
        <v>379</v>
      </c>
      <c r="L683" s="245"/>
    </row>
    <row r="684" spans="2:12" x14ac:dyDescent="0.2">
      <c r="B684" s="808"/>
      <c r="C684" s="809"/>
      <c r="D684" s="809"/>
      <c r="E684" s="809"/>
      <c r="F684" s="809"/>
      <c r="G684" s="809"/>
      <c r="H684" s="809"/>
      <c r="I684" s="809"/>
      <c r="J684" s="810"/>
      <c r="K684" s="246" t="s">
        <v>380</v>
      </c>
      <c r="L684" s="245"/>
    </row>
    <row r="685" spans="2:12" ht="13.5" thickBot="1" x14ac:dyDescent="0.25">
      <c r="B685" s="811"/>
      <c r="C685" s="812"/>
      <c r="D685" s="812"/>
      <c r="E685" s="812"/>
      <c r="F685" s="812"/>
      <c r="G685" s="812"/>
      <c r="H685" s="812"/>
      <c r="I685" s="812"/>
      <c r="J685" s="813"/>
      <c r="K685" s="247" t="s">
        <v>381</v>
      </c>
      <c r="L685" s="248"/>
    </row>
    <row r="686" spans="2:12" x14ac:dyDescent="0.2">
      <c r="B686" s="362"/>
      <c r="C686" s="360"/>
      <c r="D686" s="360"/>
      <c r="E686" s="360"/>
      <c r="F686" s="360"/>
      <c r="G686" s="360"/>
      <c r="H686" s="360"/>
      <c r="I686" s="360"/>
      <c r="J686" s="360"/>
      <c r="K686" s="361"/>
      <c r="L686" s="430"/>
    </row>
    <row r="687" spans="2:12" x14ac:dyDescent="0.2">
      <c r="B687" s="364"/>
      <c r="C687" s="365"/>
      <c r="D687" s="365"/>
      <c r="E687" s="365"/>
      <c r="F687" s="365"/>
      <c r="G687" s="365"/>
      <c r="H687" s="365"/>
      <c r="I687" s="365"/>
      <c r="J687" s="365"/>
      <c r="K687" s="365"/>
      <c r="L687" s="366"/>
    </row>
    <row r="688" spans="2:12" x14ac:dyDescent="0.2">
      <c r="B688" s="758" t="s">
        <v>382</v>
      </c>
      <c r="C688" s="759"/>
      <c r="D688" s="759"/>
      <c r="E688" s="759"/>
      <c r="F688" s="759"/>
      <c r="G688" s="759"/>
      <c r="H688" s="759"/>
      <c r="I688" s="759"/>
      <c r="J688" s="759"/>
      <c r="K688" s="759"/>
      <c r="L688" s="760"/>
    </row>
    <row r="689" spans="2:12" x14ac:dyDescent="0.2">
      <c r="B689" s="300">
        <v>1</v>
      </c>
      <c r="C689" s="745" t="s">
        <v>497</v>
      </c>
      <c r="D689" s="746"/>
      <c r="E689" s="746"/>
      <c r="F689" s="746"/>
      <c r="G689" s="746"/>
      <c r="H689" s="746"/>
      <c r="I689" s="746"/>
      <c r="J689" s="746"/>
      <c r="K689" s="746"/>
      <c r="L689" s="747"/>
    </row>
    <row r="690" spans="2:12" x14ac:dyDescent="0.2">
      <c r="B690" s="427"/>
      <c r="C690" s="748"/>
      <c r="D690" s="749"/>
      <c r="E690" s="749"/>
      <c r="F690" s="749"/>
      <c r="G690" s="749"/>
      <c r="H690" s="749"/>
      <c r="I690" s="749"/>
      <c r="J690" s="749"/>
      <c r="K690" s="749"/>
      <c r="L690" s="750"/>
    </row>
    <row r="691" spans="2:12" x14ac:dyDescent="0.2">
      <c r="B691" s="429"/>
      <c r="C691" s="748"/>
      <c r="D691" s="749"/>
      <c r="E691" s="749"/>
      <c r="F691" s="749"/>
      <c r="G691" s="749"/>
      <c r="H691" s="749"/>
      <c r="I691" s="749"/>
      <c r="J691" s="749"/>
      <c r="K691" s="749"/>
      <c r="L691" s="750"/>
    </row>
    <row r="692" spans="2:12" x14ac:dyDescent="0.2">
      <c r="B692" s="356"/>
      <c r="C692" s="748"/>
      <c r="D692" s="749"/>
      <c r="E692" s="749"/>
      <c r="F692" s="749"/>
      <c r="G692" s="749"/>
      <c r="H692" s="749"/>
      <c r="I692" s="749"/>
      <c r="J692" s="749"/>
      <c r="K692" s="749"/>
      <c r="L692" s="750"/>
    </row>
    <row r="693" spans="2:12" x14ac:dyDescent="0.2">
      <c r="B693" s="300"/>
      <c r="C693" s="748"/>
      <c r="D693" s="749"/>
      <c r="E693" s="749"/>
      <c r="F693" s="749"/>
      <c r="G693" s="749"/>
      <c r="H693" s="749"/>
      <c r="I693" s="749"/>
      <c r="J693" s="749"/>
      <c r="K693" s="749"/>
      <c r="L693" s="750"/>
    </row>
    <row r="694" spans="2:12" x14ac:dyDescent="0.2">
      <c r="B694" s="758" t="s">
        <v>386</v>
      </c>
      <c r="C694" s="759"/>
      <c r="D694" s="759"/>
      <c r="E694" s="759"/>
      <c r="F694" s="759"/>
      <c r="G694" s="759"/>
      <c r="H694" s="759"/>
      <c r="I694" s="759"/>
      <c r="J694" s="759"/>
      <c r="K694" s="759"/>
      <c r="L694" s="760"/>
    </row>
    <row r="695" spans="2:12" x14ac:dyDescent="0.2">
      <c r="B695" s="269"/>
      <c r="C695" s="757"/>
      <c r="D695" s="746"/>
      <c r="E695" s="746"/>
      <c r="F695" s="746"/>
      <c r="G695" s="746"/>
      <c r="H695" s="746"/>
      <c r="I695" s="746"/>
      <c r="J695" s="746"/>
      <c r="K695" s="746"/>
      <c r="L695" s="747"/>
    </row>
    <row r="696" spans="2:12" x14ac:dyDescent="0.2">
      <c r="B696" s="269"/>
      <c r="C696" s="757"/>
      <c r="D696" s="746"/>
      <c r="E696" s="746"/>
      <c r="F696" s="746"/>
      <c r="G696" s="746"/>
      <c r="H696" s="746"/>
      <c r="I696" s="746"/>
      <c r="J696" s="746"/>
      <c r="K696" s="746"/>
      <c r="L696" s="747"/>
    </row>
    <row r="697" spans="2:12" x14ac:dyDescent="0.2">
      <c r="B697" s="269"/>
      <c r="C697" s="757"/>
      <c r="D697" s="746"/>
      <c r="E697" s="746"/>
      <c r="F697" s="746"/>
      <c r="G697" s="746"/>
      <c r="H697" s="746"/>
      <c r="I697" s="746"/>
      <c r="J697" s="746"/>
      <c r="K697" s="746"/>
      <c r="L697" s="747"/>
    </row>
    <row r="698" spans="2:12" x14ac:dyDescent="0.2">
      <c r="B698" s="758" t="s">
        <v>387</v>
      </c>
      <c r="C698" s="759"/>
      <c r="D698" s="759"/>
      <c r="E698" s="759"/>
      <c r="F698" s="759"/>
      <c r="G698" s="759"/>
      <c r="H698" s="759"/>
      <c r="I698" s="759"/>
      <c r="J698" s="759"/>
      <c r="K698" s="759"/>
      <c r="L698" s="760"/>
    </row>
    <row r="699" spans="2:12" x14ac:dyDescent="0.2">
      <c r="B699" s="269">
        <v>1</v>
      </c>
      <c r="C699" s="745" t="s">
        <v>498</v>
      </c>
      <c r="D699" s="746"/>
      <c r="E699" s="746"/>
      <c r="F699" s="746"/>
      <c r="G699" s="746"/>
      <c r="H699" s="746"/>
      <c r="I699" s="746"/>
      <c r="J699" s="746"/>
      <c r="K699" s="746"/>
      <c r="L699" s="747"/>
    </row>
    <row r="700" spans="2:12" x14ac:dyDescent="0.2">
      <c r="B700" s="269"/>
      <c r="C700" s="745"/>
      <c r="D700" s="746"/>
      <c r="E700" s="746"/>
      <c r="F700" s="746"/>
      <c r="G700" s="746"/>
      <c r="H700" s="746"/>
      <c r="I700" s="746"/>
      <c r="J700" s="746"/>
      <c r="K700" s="746"/>
      <c r="L700" s="747"/>
    </row>
    <row r="701" spans="2:12" x14ac:dyDescent="0.2">
      <c r="B701" s="368"/>
      <c r="C701" s="745"/>
      <c r="D701" s="746"/>
      <c r="E701" s="746"/>
      <c r="F701" s="746"/>
      <c r="G701" s="746"/>
      <c r="H701" s="746"/>
      <c r="I701" s="746"/>
      <c r="J701" s="746"/>
      <c r="K701" s="746"/>
      <c r="L701" s="747"/>
    </row>
    <row r="702" spans="2:12" x14ac:dyDescent="0.2">
      <c r="B702" s="761" t="s">
        <v>383</v>
      </c>
      <c r="C702" s="762"/>
      <c r="D702" s="762"/>
      <c r="E702" s="762"/>
      <c r="F702" s="762"/>
      <c r="G702" s="762"/>
      <c r="H702" s="762"/>
      <c r="I702" s="762"/>
      <c r="J702" s="762"/>
      <c r="K702" s="762"/>
      <c r="L702" s="763"/>
    </row>
    <row r="703" spans="2:12" x14ac:dyDescent="0.2">
      <c r="B703" s="764" t="s">
        <v>446</v>
      </c>
      <c r="C703" s="746"/>
      <c r="D703" s="746"/>
      <c r="E703" s="746"/>
      <c r="F703" s="746"/>
      <c r="G703" s="746"/>
      <c r="H703" s="746"/>
      <c r="I703" s="746"/>
      <c r="J703" s="746"/>
      <c r="K703" s="746"/>
      <c r="L703" s="747"/>
    </row>
    <row r="704" spans="2:12" x14ac:dyDescent="0.2">
      <c r="B704" s="764"/>
      <c r="C704" s="746"/>
      <c r="D704" s="746"/>
      <c r="E704" s="746"/>
      <c r="F704" s="746"/>
      <c r="G704" s="746"/>
      <c r="H704" s="746"/>
      <c r="I704" s="746"/>
      <c r="J704" s="746"/>
      <c r="K704" s="746"/>
      <c r="L704" s="747"/>
    </row>
    <row r="705" spans="2:12" x14ac:dyDescent="0.2">
      <c r="B705" s="764"/>
      <c r="C705" s="746"/>
      <c r="D705" s="746"/>
      <c r="E705" s="746"/>
      <c r="F705" s="746"/>
      <c r="G705" s="746"/>
      <c r="H705" s="746"/>
      <c r="I705" s="746"/>
      <c r="J705" s="746"/>
      <c r="K705" s="746"/>
      <c r="L705" s="747"/>
    </row>
    <row r="706" spans="2:12" x14ac:dyDescent="0.2">
      <c r="B706" s="764"/>
      <c r="C706" s="746"/>
      <c r="D706" s="746"/>
      <c r="E706" s="746"/>
      <c r="F706" s="746"/>
      <c r="G706" s="746"/>
      <c r="H706" s="746"/>
      <c r="I706" s="746"/>
      <c r="J706" s="746"/>
      <c r="K706" s="746"/>
      <c r="L706" s="747"/>
    </row>
    <row r="707" spans="2:12" x14ac:dyDescent="0.2">
      <c r="B707" s="768"/>
      <c r="C707" s="769"/>
      <c r="D707" s="769"/>
      <c r="E707" s="769"/>
      <c r="F707" s="769"/>
      <c r="G707" s="431"/>
      <c r="H707" s="769"/>
      <c r="I707" s="769"/>
      <c r="J707" s="769"/>
      <c r="K707" s="769"/>
      <c r="L707" s="774"/>
    </row>
    <row r="708" spans="2:12" x14ac:dyDescent="0.2">
      <c r="B708" s="770"/>
      <c r="C708" s="771"/>
      <c r="D708" s="771"/>
      <c r="E708" s="771"/>
      <c r="F708" s="771"/>
      <c r="G708" s="432"/>
      <c r="H708" s="771"/>
      <c r="I708" s="771"/>
      <c r="J708" s="771"/>
      <c r="K708" s="771"/>
      <c r="L708" s="775"/>
    </row>
    <row r="709" spans="2:12" x14ac:dyDescent="0.2">
      <c r="B709" s="770"/>
      <c r="C709" s="771"/>
      <c r="D709" s="771"/>
      <c r="E709" s="771"/>
      <c r="F709" s="771"/>
      <c r="G709" s="432"/>
      <c r="H709" s="771"/>
      <c r="I709" s="771"/>
      <c r="J709" s="771"/>
      <c r="K709" s="771"/>
      <c r="L709" s="775"/>
    </row>
    <row r="710" spans="2:12" x14ac:dyDescent="0.2">
      <c r="B710" s="772"/>
      <c r="C710" s="773"/>
      <c r="D710" s="773"/>
      <c r="E710" s="773"/>
      <c r="F710" s="773"/>
      <c r="G710" s="433"/>
      <c r="H710" s="773"/>
      <c r="I710" s="773"/>
      <c r="J710" s="773"/>
      <c r="K710" s="773"/>
      <c r="L710" s="776"/>
    </row>
    <row r="711" spans="2:12" ht="13.5" thickBot="1" x14ac:dyDescent="0.25">
      <c r="B711" s="751" t="s">
        <v>384</v>
      </c>
      <c r="C711" s="752"/>
      <c r="D711" s="752"/>
      <c r="E711" s="752"/>
      <c r="F711" s="752"/>
      <c r="G711" s="434"/>
      <c r="H711" s="752" t="s">
        <v>385</v>
      </c>
      <c r="I711" s="752"/>
      <c r="J711" s="752"/>
      <c r="K711" s="752"/>
      <c r="L711" s="753"/>
    </row>
    <row r="713" spans="2:12" ht="13.5" thickBot="1" x14ac:dyDescent="0.25"/>
    <row r="714" spans="2:12" ht="23.25" x14ac:dyDescent="0.2">
      <c r="B714" s="862" t="s">
        <v>336</v>
      </c>
      <c r="C714" s="863"/>
      <c r="D714" s="863"/>
      <c r="E714" s="863"/>
      <c r="F714" s="863"/>
      <c r="G714" s="863"/>
      <c r="H714" s="863"/>
      <c r="I714" s="863"/>
      <c r="J714" s="863"/>
      <c r="K714" s="863"/>
      <c r="L714" s="864"/>
    </row>
    <row r="715" spans="2:12" ht="20.25" x14ac:dyDescent="0.2">
      <c r="B715" s="20"/>
      <c r="C715" s="21"/>
      <c r="D715" s="210"/>
      <c r="E715" s="210"/>
      <c r="F715" s="210"/>
      <c r="G715" s="210"/>
      <c r="H715" s="210"/>
      <c r="I715" s="210"/>
      <c r="J715" s="210"/>
      <c r="K715" s="211" t="str">
        <f>("DATA ATUAL:"&amp;"    "&amp;UPPER(LEFT(TEXT(L715,"DDDD"),7)))</f>
        <v>DATA ATUAL:    QUINTA-</v>
      </c>
      <c r="L715" s="253">
        <v>44679</v>
      </c>
    </row>
    <row r="716" spans="2:12" ht="20.25" x14ac:dyDescent="0.2">
      <c r="B716" s="20"/>
      <c r="C716" s="21"/>
      <c r="D716" s="212"/>
      <c r="E716" s="212"/>
      <c r="F716" s="212"/>
      <c r="G716" s="212"/>
      <c r="H716" s="212"/>
      <c r="I716" s="212"/>
      <c r="J716" s="212"/>
      <c r="K716" s="211" t="s">
        <v>337</v>
      </c>
      <c r="L716" s="359">
        <v>9</v>
      </c>
    </row>
    <row r="717" spans="2:12" ht="20.25" x14ac:dyDescent="0.2">
      <c r="B717" s="20"/>
      <c r="C717" s="21"/>
      <c r="D717" s="865" t="s">
        <v>338</v>
      </c>
      <c r="E717" s="865"/>
      <c r="F717" s="865"/>
      <c r="G717" s="865"/>
      <c r="H717" s="865"/>
      <c r="I717" s="865"/>
      <c r="J717" s="212"/>
      <c r="K717" s="211" t="s">
        <v>339</v>
      </c>
      <c r="L717" s="255">
        <f>IFERROR(IF(AND(L722&gt;0,L721&gt;0),L722-L721,0),"")</f>
        <v>31</v>
      </c>
    </row>
    <row r="718" spans="2:12" x14ac:dyDescent="0.2">
      <c r="B718" s="20"/>
      <c r="C718" s="21"/>
      <c r="D718" s="866" t="s">
        <v>340</v>
      </c>
      <c r="E718" s="866"/>
      <c r="F718" s="866"/>
      <c r="G718" s="866"/>
      <c r="H718" s="866"/>
      <c r="I718" s="866"/>
      <c r="J718" s="213"/>
      <c r="K718" s="211" t="s">
        <v>341</v>
      </c>
      <c r="L718" s="255">
        <f>IF(OR(AND(K766&lt;&gt;"",K767&lt;&gt;"",K768&lt;&gt;""),AND(D762&lt;&gt;"",F762&lt;&gt;"")),IF(L721&gt;0,NETWORKDAYS.INTL(L721,L715,11),0),IF(L721&gt;0,NETWORKDAYS.INTL(L721,L715,11),0))</f>
        <v>9</v>
      </c>
    </row>
    <row r="719" spans="2:12" x14ac:dyDescent="0.2">
      <c r="B719" s="20"/>
      <c r="C719" s="21"/>
      <c r="D719" s="867" t="s">
        <v>342</v>
      </c>
      <c r="E719" s="867"/>
      <c r="F719" s="867"/>
      <c r="G719" s="867"/>
      <c r="H719" s="867"/>
      <c r="I719" s="867"/>
      <c r="J719" s="214"/>
      <c r="K719" s="211" t="s">
        <v>343</v>
      </c>
      <c r="L719" s="255">
        <f>IFERROR(L717-L718,"")</f>
        <v>22</v>
      </c>
    </row>
    <row r="720" spans="2:12" x14ac:dyDescent="0.2">
      <c r="B720" s="758" t="s">
        <v>344</v>
      </c>
      <c r="C720" s="759"/>
      <c r="D720" s="759"/>
      <c r="E720" s="759"/>
      <c r="F720" s="759"/>
      <c r="G720" s="759"/>
      <c r="H720" s="759"/>
      <c r="I720" s="759"/>
      <c r="J720" s="759"/>
      <c r="K720" s="759"/>
      <c r="L720" s="760"/>
    </row>
    <row r="721" spans="2:12" x14ac:dyDescent="0.2">
      <c r="B721" s="868" t="s">
        <v>345</v>
      </c>
      <c r="C721" s="852"/>
      <c r="D721" s="852" t="s">
        <v>404</v>
      </c>
      <c r="E721" s="852"/>
      <c r="F721" s="852"/>
      <c r="G721" s="852"/>
      <c r="H721" s="852"/>
      <c r="I721" s="852"/>
      <c r="J721" s="852"/>
      <c r="K721" s="216" t="s">
        <v>346</v>
      </c>
      <c r="L721" s="217">
        <v>44670</v>
      </c>
    </row>
    <row r="722" spans="2:12" x14ac:dyDescent="0.2">
      <c r="B722" s="443" t="s">
        <v>347</v>
      </c>
      <c r="C722" s="852"/>
      <c r="D722" s="852"/>
      <c r="E722" s="852"/>
      <c r="F722" s="852"/>
      <c r="G722" s="852"/>
      <c r="H722" s="852"/>
      <c r="I722" s="852"/>
      <c r="J722" s="852"/>
      <c r="K722" s="216" t="s">
        <v>348</v>
      </c>
      <c r="L722" s="217">
        <v>44701</v>
      </c>
    </row>
    <row r="723" spans="2:12" x14ac:dyDescent="0.2">
      <c r="B723" s="868" t="s">
        <v>349</v>
      </c>
      <c r="C723" s="852"/>
      <c r="D723" s="852" t="s">
        <v>405</v>
      </c>
      <c r="E723" s="852"/>
      <c r="F723" s="852"/>
      <c r="G723" s="852"/>
      <c r="H723" s="852"/>
      <c r="I723" s="852"/>
      <c r="J723" s="852"/>
      <c r="K723" s="852"/>
      <c r="L723" s="853"/>
    </row>
    <row r="724" spans="2:12" x14ac:dyDescent="0.2">
      <c r="B724" s="868" t="s">
        <v>350</v>
      </c>
      <c r="C724" s="869"/>
      <c r="D724" s="869"/>
      <c r="E724" s="852" t="s">
        <v>402</v>
      </c>
      <c r="F724" s="852"/>
      <c r="G724" s="852"/>
      <c r="H724" s="852"/>
      <c r="I724" s="852"/>
      <c r="J724" s="852"/>
      <c r="K724" s="852"/>
      <c r="L724" s="853"/>
    </row>
    <row r="725" spans="2:12" x14ac:dyDescent="0.2">
      <c r="B725" s="443" t="s">
        <v>351</v>
      </c>
      <c r="C725" s="444"/>
      <c r="D725" s="870"/>
      <c r="E725" s="870"/>
      <c r="F725" s="870"/>
      <c r="G725" s="870"/>
      <c r="H725" s="870"/>
      <c r="I725" s="870"/>
      <c r="J725" s="870"/>
      <c r="K725" s="870"/>
      <c r="L725" s="871"/>
    </row>
    <row r="726" spans="2:12" x14ac:dyDescent="0.2">
      <c r="B726" s="758" t="s">
        <v>352</v>
      </c>
      <c r="C726" s="759"/>
      <c r="D726" s="759"/>
      <c r="E726" s="759"/>
      <c r="F726" s="759"/>
      <c r="G726" s="759"/>
      <c r="H726" s="759"/>
      <c r="I726" s="759"/>
      <c r="J726" s="759"/>
      <c r="K726" s="759"/>
      <c r="L726" s="760"/>
    </row>
    <row r="727" spans="2:12" x14ac:dyDescent="0.2">
      <c r="B727" s="868" t="s">
        <v>353</v>
      </c>
      <c r="C727" s="869"/>
      <c r="D727" s="869"/>
      <c r="E727" s="852"/>
      <c r="F727" s="852"/>
      <c r="G727" s="852"/>
      <c r="H727" s="852"/>
      <c r="I727" s="852"/>
      <c r="J727" s="852"/>
      <c r="K727" s="852"/>
      <c r="L727" s="853"/>
    </row>
    <row r="728" spans="2:12" x14ac:dyDescent="0.2">
      <c r="B728" s="219" t="s">
        <v>321</v>
      </c>
      <c r="C728" s="852"/>
      <c r="D728" s="852"/>
      <c r="E728" s="852"/>
      <c r="F728" s="852"/>
      <c r="G728" s="852"/>
      <c r="H728" s="852"/>
      <c r="I728" s="852"/>
      <c r="J728" s="852"/>
      <c r="K728" s="852"/>
      <c r="L728" s="853"/>
    </row>
    <row r="729" spans="2:12" x14ac:dyDescent="0.2">
      <c r="B729" s="219" t="s">
        <v>351</v>
      </c>
      <c r="C729" s="852"/>
      <c r="D729" s="852"/>
      <c r="E729" s="852"/>
      <c r="F729" s="852"/>
      <c r="G729" s="852"/>
      <c r="H729" s="852"/>
      <c r="I729" s="852"/>
      <c r="J729" s="852"/>
      <c r="K729" s="852"/>
      <c r="L729" s="853"/>
    </row>
    <row r="730" spans="2:12" x14ac:dyDescent="0.2">
      <c r="B730" s="219" t="s">
        <v>354</v>
      </c>
      <c r="C730" s="852"/>
      <c r="D730" s="852"/>
      <c r="E730" s="852"/>
      <c r="F730" s="852"/>
      <c r="G730" s="852"/>
      <c r="H730" s="852"/>
      <c r="I730" s="852"/>
      <c r="J730" s="852"/>
      <c r="K730" s="852"/>
      <c r="L730" s="853"/>
    </row>
    <row r="731" spans="2:12" x14ac:dyDescent="0.2">
      <c r="B731" s="758" t="s">
        <v>355</v>
      </c>
      <c r="C731" s="759"/>
      <c r="D731" s="759"/>
      <c r="E731" s="759"/>
      <c r="F731" s="759"/>
      <c r="G731" s="759"/>
      <c r="H731" s="759"/>
      <c r="I731" s="759"/>
      <c r="J731" s="759"/>
      <c r="K731" s="759"/>
      <c r="L731" s="760"/>
    </row>
    <row r="732" spans="2:12" x14ac:dyDescent="0.2">
      <c r="B732" s="803" t="s">
        <v>356</v>
      </c>
      <c r="C732" s="782"/>
      <c r="D732" s="782"/>
      <c r="E732" s="782"/>
      <c r="F732" s="782"/>
      <c r="G732" s="782"/>
      <c r="H732" s="782"/>
      <c r="I732" s="782"/>
      <c r="J732" s="782"/>
      <c r="K732" s="782"/>
      <c r="L732" s="804"/>
    </row>
    <row r="733" spans="2:12" x14ac:dyDescent="0.2">
      <c r="B733" s="854" t="s">
        <v>357</v>
      </c>
      <c r="C733" s="824"/>
      <c r="D733" s="825"/>
      <c r="E733" s="840" t="s">
        <v>358</v>
      </c>
      <c r="F733" s="841"/>
      <c r="G733" s="841"/>
      <c r="H733" s="841"/>
      <c r="I733" s="841"/>
      <c r="J733" s="841"/>
      <c r="K733" s="842"/>
      <c r="L733" s="855" t="s">
        <v>359</v>
      </c>
    </row>
    <row r="734" spans="2:12" x14ac:dyDescent="0.2">
      <c r="B734" s="854"/>
      <c r="C734" s="824"/>
      <c r="D734" s="825"/>
      <c r="E734" s="843"/>
      <c r="F734" s="844"/>
      <c r="G734" s="844"/>
      <c r="H734" s="844"/>
      <c r="I734" s="844"/>
      <c r="J734" s="844"/>
      <c r="K734" s="845"/>
      <c r="L734" s="856"/>
    </row>
    <row r="735" spans="2:12" x14ac:dyDescent="0.2">
      <c r="B735" s="857" t="s">
        <v>400</v>
      </c>
      <c r="C735" s="746"/>
      <c r="D735" s="858"/>
      <c r="E735" s="748" t="s">
        <v>412</v>
      </c>
      <c r="F735" s="859"/>
      <c r="G735" s="859"/>
      <c r="H735" s="859"/>
      <c r="I735" s="859"/>
      <c r="J735" s="859"/>
      <c r="K735" s="858"/>
      <c r="L735" s="220">
        <v>2</v>
      </c>
    </row>
    <row r="736" spans="2:12" x14ac:dyDescent="0.2">
      <c r="B736" s="764" t="s">
        <v>416</v>
      </c>
      <c r="C736" s="746"/>
      <c r="D736" s="858"/>
      <c r="E736" s="860" t="s">
        <v>417</v>
      </c>
      <c r="F736" s="859"/>
      <c r="G736" s="859"/>
      <c r="H736" s="859"/>
      <c r="I736" s="859"/>
      <c r="J736" s="859"/>
      <c r="K736" s="858"/>
      <c r="L736" s="220">
        <v>1</v>
      </c>
    </row>
    <row r="737" spans="2:12" x14ac:dyDescent="0.2">
      <c r="B737" s="764" t="s">
        <v>411</v>
      </c>
      <c r="C737" s="859"/>
      <c r="D737" s="858"/>
      <c r="E737" s="860" t="s">
        <v>413</v>
      </c>
      <c r="F737" s="859"/>
      <c r="G737" s="859"/>
      <c r="H737" s="859"/>
      <c r="I737" s="859"/>
      <c r="J737" s="859"/>
      <c r="K737" s="858"/>
      <c r="L737" s="221">
        <v>1</v>
      </c>
    </row>
    <row r="738" spans="2:12" x14ac:dyDescent="0.2">
      <c r="B738" s="764"/>
      <c r="C738" s="859"/>
      <c r="D738" s="858"/>
      <c r="E738" s="860"/>
      <c r="F738" s="859"/>
      <c r="G738" s="859"/>
      <c r="H738" s="859"/>
      <c r="I738" s="859"/>
      <c r="J738" s="859"/>
      <c r="K738" s="858"/>
      <c r="L738" s="221"/>
    </row>
    <row r="739" spans="2:12" x14ac:dyDescent="0.2">
      <c r="B739" s="777" t="s">
        <v>360</v>
      </c>
      <c r="C739" s="861"/>
      <c r="D739" s="861"/>
      <c r="E739" s="861"/>
      <c r="F739" s="861"/>
      <c r="G739" s="861"/>
      <c r="H739" s="861"/>
      <c r="I739" s="861"/>
      <c r="J739" s="861"/>
      <c r="K739" s="779"/>
      <c r="L739" s="224">
        <f>SUM(L735:L738)</f>
        <v>4</v>
      </c>
    </row>
    <row r="740" spans="2:12" x14ac:dyDescent="0.2">
      <c r="B740" s="803" t="s">
        <v>361</v>
      </c>
      <c r="C740" s="782"/>
      <c r="D740" s="782"/>
      <c r="E740" s="782"/>
      <c r="F740" s="782"/>
      <c r="G740" s="782"/>
      <c r="H740" s="782"/>
      <c r="I740" s="782"/>
      <c r="J740" s="782"/>
      <c r="K740" s="782"/>
      <c r="L740" s="804"/>
    </row>
    <row r="741" spans="2:12" x14ac:dyDescent="0.2">
      <c r="B741" s="834" t="s">
        <v>362</v>
      </c>
      <c r="C741" s="840" t="s">
        <v>357</v>
      </c>
      <c r="D741" s="842"/>
      <c r="E741" s="840" t="s">
        <v>358</v>
      </c>
      <c r="F741" s="841"/>
      <c r="G741" s="841"/>
      <c r="H741" s="841"/>
      <c r="I741" s="841"/>
      <c r="J741" s="841"/>
      <c r="K741" s="842"/>
      <c r="L741" s="816" t="s">
        <v>359</v>
      </c>
    </row>
    <row r="742" spans="2:12" x14ac:dyDescent="0.2">
      <c r="B742" s="835"/>
      <c r="C742" s="843"/>
      <c r="D742" s="845"/>
      <c r="E742" s="843"/>
      <c r="F742" s="844"/>
      <c r="G742" s="844"/>
      <c r="H742" s="844"/>
      <c r="I742" s="844"/>
      <c r="J742" s="844"/>
      <c r="K742" s="845"/>
      <c r="L742" s="817"/>
    </row>
    <row r="743" spans="2:12" x14ac:dyDescent="0.2">
      <c r="B743" s="441"/>
      <c r="C743" s="818"/>
      <c r="D743" s="819"/>
      <c r="E743" s="820"/>
      <c r="F743" s="821"/>
      <c r="G743" s="821"/>
      <c r="H743" s="821"/>
      <c r="I743" s="821"/>
      <c r="J743" s="821"/>
      <c r="K743" s="822"/>
      <c r="L743" s="442"/>
    </row>
    <row r="744" spans="2:12" x14ac:dyDescent="0.2">
      <c r="B744" s="441"/>
      <c r="C744" s="818"/>
      <c r="D744" s="819"/>
      <c r="E744" s="820"/>
      <c r="F744" s="821"/>
      <c r="G744" s="821"/>
      <c r="H744" s="821"/>
      <c r="I744" s="821"/>
      <c r="J744" s="821"/>
      <c r="K744" s="822"/>
      <c r="L744" s="442"/>
    </row>
    <row r="745" spans="2:12" x14ac:dyDescent="0.2">
      <c r="B745" s="441"/>
      <c r="C745" s="818"/>
      <c r="D745" s="819"/>
      <c r="E745" s="823"/>
      <c r="F745" s="824"/>
      <c r="G745" s="824"/>
      <c r="H745" s="824"/>
      <c r="I745" s="824"/>
      <c r="J745" s="824"/>
      <c r="K745" s="825"/>
      <c r="L745" s="442"/>
    </row>
    <row r="746" spans="2:12" x14ac:dyDescent="0.2">
      <c r="B746" s="441"/>
      <c r="C746" s="818"/>
      <c r="D746" s="819"/>
      <c r="E746" s="823"/>
      <c r="F746" s="824"/>
      <c r="G746" s="824"/>
      <c r="H746" s="824"/>
      <c r="I746" s="824"/>
      <c r="J746" s="824"/>
      <c r="K746" s="825"/>
      <c r="L746" s="442"/>
    </row>
    <row r="747" spans="2:12" x14ac:dyDescent="0.2">
      <c r="B747" s="441"/>
      <c r="C747" s="818"/>
      <c r="D747" s="819"/>
      <c r="E747" s="823"/>
      <c r="F747" s="824"/>
      <c r="G747" s="824"/>
      <c r="H747" s="824"/>
      <c r="I747" s="824"/>
      <c r="J747" s="824"/>
      <c r="K747" s="825"/>
      <c r="L747" s="442"/>
    </row>
    <row r="748" spans="2:12" x14ac:dyDescent="0.2">
      <c r="B748" s="826" t="s">
        <v>360</v>
      </c>
      <c r="C748" s="827"/>
      <c r="D748" s="827"/>
      <c r="E748" s="827"/>
      <c r="F748" s="827"/>
      <c r="G748" s="827"/>
      <c r="H748" s="827"/>
      <c r="I748" s="827"/>
      <c r="J748" s="827"/>
      <c r="K748" s="828"/>
      <c r="L748" s="227">
        <f>SUM(L743:L747)</f>
        <v>0</v>
      </c>
    </row>
    <row r="749" spans="2:12" x14ac:dyDescent="0.2">
      <c r="B749" s="829" t="s">
        <v>406</v>
      </c>
      <c r="C749" s="830"/>
      <c r="D749" s="830"/>
      <c r="E749" s="830"/>
      <c r="F749" s="830"/>
      <c r="G749" s="830"/>
      <c r="H749" s="830"/>
      <c r="I749" s="830"/>
      <c r="J749" s="830"/>
      <c r="K749" s="831"/>
      <c r="L749" s="228">
        <f>L748+L739</f>
        <v>4</v>
      </c>
    </row>
    <row r="750" spans="2:12" x14ac:dyDescent="0.2">
      <c r="B750" s="758" t="s">
        <v>215</v>
      </c>
      <c r="C750" s="759"/>
      <c r="D750" s="759"/>
      <c r="E750" s="759"/>
      <c r="F750" s="759"/>
      <c r="G750" s="759"/>
      <c r="H750" s="759"/>
      <c r="I750" s="759"/>
      <c r="J750" s="759"/>
      <c r="K750" s="759"/>
      <c r="L750" s="760"/>
    </row>
    <row r="751" spans="2:12" x14ac:dyDescent="0.2">
      <c r="B751" s="803" t="s">
        <v>363</v>
      </c>
      <c r="C751" s="782"/>
      <c r="D751" s="782"/>
      <c r="E751" s="782"/>
      <c r="F751" s="782"/>
      <c r="G751" s="782"/>
      <c r="H751" s="782"/>
      <c r="I751" s="782"/>
      <c r="J751" s="803" t="s">
        <v>364</v>
      </c>
      <c r="K751" s="782"/>
      <c r="L751" s="804"/>
    </row>
    <row r="752" spans="2:12" x14ac:dyDescent="0.2">
      <c r="B752" s="834" t="s">
        <v>362</v>
      </c>
      <c r="C752" s="836" t="s">
        <v>29</v>
      </c>
      <c r="D752" s="837"/>
      <c r="E752" s="840" t="s">
        <v>1</v>
      </c>
      <c r="F752" s="841"/>
      <c r="G752" s="841"/>
      <c r="H752" s="842"/>
      <c r="I752" s="846" t="s">
        <v>359</v>
      </c>
      <c r="J752" s="848" t="s">
        <v>29</v>
      </c>
      <c r="K752" s="850" t="s">
        <v>1</v>
      </c>
      <c r="L752" s="846" t="s">
        <v>365</v>
      </c>
    </row>
    <row r="753" spans="2:12" x14ac:dyDescent="0.2">
      <c r="B753" s="835"/>
      <c r="C753" s="838"/>
      <c r="D753" s="839"/>
      <c r="E753" s="843"/>
      <c r="F753" s="844"/>
      <c r="G753" s="844"/>
      <c r="H753" s="845"/>
      <c r="I753" s="847"/>
      <c r="J753" s="849"/>
      <c r="K753" s="851"/>
      <c r="L753" s="847"/>
    </row>
    <row r="754" spans="2:12" x14ac:dyDescent="0.2">
      <c r="B754" s="229"/>
      <c r="C754" s="832"/>
      <c r="D754" s="822"/>
      <c r="E754" s="832"/>
      <c r="F754" s="833"/>
      <c r="G754" s="833"/>
      <c r="H754" s="822"/>
      <c r="I754" s="231"/>
      <c r="J754" s="440"/>
      <c r="K754" s="435"/>
      <c r="L754" s="221"/>
    </row>
    <row r="755" spans="2:12" x14ac:dyDescent="0.2">
      <c r="B755" s="229"/>
      <c r="C755" s="832"/>
      <c r="D755" s="822"/>
      <c r="E755" s="832"/>
      <c r="F755" s="833"/>
      <c r="G755" s="833"/>
      <c r="H755" s="822"/>
      <c r="I755" s="234"/>
      <c r="J755" s="235"/>
      <c r="K755" s="236"/>
      <c r="L755" s="237"/>
    </row>
    <row r="756" spans="2:12" x14ac:dyDescent="0.2">
      <c r="B756" s="229"/>
      <c r="C756" s="832"/>
      <c r="D756" s="822"/>
      <c r="E756" s="832"/>
      <c r="F756" s="833"/>
      <c r="G756" s="833"/>
      <c r="H756" s="822"/>
      <c r="I756" s="239"/>
      <c r="J756" s="230"/>
      <c r="K756" s="238"/>
      <c r="L756" s="220"/>
    </row>
    <row r="757" spans="2:12" x14ac:dyDescent="0.2">
      <c r="B757" s="777" t="s">
        <v>366</v>
      </c>
      <c r="C757" s="778"/>
      <c r="D757" s="778"/>
      <c r="E757" s="778"/>
      <c r="F757" s="778"/>
      <c r="G757" s="778"/>
      <c r="H757" s="779"/>
      <c r="I757" s="252">
        <f>SUM(I754:I756)</f>
        <v>0</v>
      </c>
      <c r="J757" s="780" t="s">
        <v>366</v>
      </c>
      <c r="K757" s="781"/>
      <c r="L757" s="240">
        <f>SUM(L754:L756)</f>
        <v>0</v>
      </c>
    </row>
    <row r="758" spans="2:12" x14ac:dyDescent="0.2">
      <c r="B758" s="777" t="s">
        <v>27</v>
      </c>
      <c r="C758" s="778"/>
      <c r="D758" s="778"/>
      <c r="E758" s="778"/>
      <c r="F758" s="778"/>
      <c r="G758" s="778"/>
      <c r="H758" s="778"/>
      <c r="I758" s="778"/>
      <c r="J758" s="778"/>
      <c r="K758" s="779"/>
      <c r="L758" s="240">
        <f>L757+I757</f>
        <v>0</v>
      </c>
    </row>
    <row r="759" spans="2:12" x14ac:dyDescent="0.2">
      <c r="B759" s="758" t="s">
        <v>388</v>
      </c>
      <c r="C759" s="759"/>
      <c r="D759" s="759"/>
      <c r="E759" s="759"/>
      <c r="F759" s="759"/>
      <c r="G759" s="759"/>
      <c r="H759" s="759"/>
      <c r="I759" s="759"/>
      <c r="J759" s="759"/>
      <c r="K759" s="759"/>
      <c r="L759" s="760"/>
    </row>
    <row r="760" spans="2:12" x14ac:dyDescent="0.2">
      <c r="B760" s="803" t="s">
        <v>368</v>
      </c>
      <c r="C760" s="782"/>
      <c r="D760" s="804"/>
      <c r="E760" s="782" t="s">
        <v>394</v>
      </c>
      <c r="F760" s="782"/>
      <c r="G760" s="783" t="s">
        <v>389</v>
      </c>
      <c r="H760" s="784"/>
      <c r="I760" s="784"/>
      <c r="J760" s="784"/>
      <c r="K760" s="784"/>
      <c r="L760" s="785"/>
    </row>
    <row r="761" spans="2:12" x14ac:dyDescent="0.2">
      <c r="B761" s="786" t="s">
        <v>393</v>
      </c>
      <c r="C761" s="787"/>
      <c r="D761" s="265" t="s">
        <v>390</v>
      </c>
      <c r="E761" s="438" t="s">
        <v>391</v>
      </c>
      <c r="F761" s="264" t="s">
        <v>392</v>
      </c>
      <c r="G761" s="437"/>
      <c r="H761" s="438"/>
      <c r="I761" s="438"/>
      <c r="J761" s="438"/>
      <c r="K761" s="438"/>
      <c r="L761" s="439"/>
    </row>
    <row r="762" spans="2:12" x14ac:dyDescent="0.2">
      <c r="B762" s="324"/>
      <c r="C762" s="324"/>
      <c r="D762" s="788"/>
      <c r="E762" s="268"/>
      <c r="F762" s="790"/>
      <c r="G762" s="783"/>
      <c r="H762" s="784"/>
      <c r="I762" s="784"/>
      <c r="J762" s="784"/>
      <c r="K762" s="784"/>
      <c r="L762" s="785"/>
    </row>
    <row r="763" spans="2:12" x14ac:dyDescent="0.2">
      <c r="B763" s="324"/>
      <c r="C763" s="324"/>
      <c r="D763" s="789"/>
      <c r="E763" s="268"/>
      <c r="F763" s="791"/>
      <c r="G763" s="783"/>
      <c r="H763" s="784"/>
      <c r="I763" s="784"/>
      <c r="J763" s="784"/>
      <c r="K763" s="784"/>
      <c r="L763" s="785"/>
    </row>
    <row r="764" spans="2:12" x14ac:dyDescent="0.2">
      <c r="B764" s="792" t="s">
        <v>367</v>
      </c>
      <c r="C764" s="793"/>
      <c r="D764" s="793"/>
      <c r="E764" s="793"/>
      <c r="F764" s="793"/>
      <c r="G764" s="793"/>
      <c r="H764" s="793"/>
      <c r="I764" s="793"/>
      <c r="J764" s="793"/>
      <c r="K764" s="793"/>
      <c r="L764" s="794"/>
    </row>
    <row r="765" spans="2:12" ht="25.5" x14ac:dyDescent="0.2">
      <c r="B765" s="263" t="s">
        <v>368</v>
      </c>
      <c r="C765" s="795" t="s">
        <v>369</v>
      </c>
      <c r="D765" s="796"/>
      <c r="E765" s="797"/>
      <c r="F765" s="795" t="s">
        <v>370</v>
      </c>
      <c r="G765" s="796"/>
      <c r="H765" s="797"/>
      <c r="I765" s="795" t="s">
        <v>371</v>
      </c>
      <c r="J765" s="797"/>
      <c r="K765" s="241" t="s">
        <v>372</v>
      </c>
      <c r="L765" s="242" t="s">
        <v>373</v>
      </c>
    </row>
    <row r="766" spans="2:12" x14ac:dyDescent="0.2">
      <c r="B766" s="243" t="s">
        <v>374</v>
      </c>
      <c r="C766" s="798" t="s">
        <v>407</v>
      </c>
      <c r="D766" s="799"/>
      <c r="E766" s="800"/>
      <c r="F766" s="801"/>
      <c r="G766" s="802"/>
      <c r="H766" s="436"/>
      <c r="I766" s="801"/>
      <c r="J766" s="802"/>
      <c r="K766" s="266"/>
      <c r="L766" s="245"/>
    </row>
    <row r="767" spans="2:12" x14ac:dyDescent="0.2">
      <c r="B767" s="243" t="s">
        <v>375</v>
      </c>
      <c r="C767" s="798" t="s">
        <v>407</v>
      </c>
      <c r="D767" s="799"/>
      <c r="E767" s="800"/>
      <c r="F767" s="801"/>
      <c r="G767" s="802"/>
      <c r="H767" s="436"/>
      <c r="I767" s="801"/>
      <c r="J767" s="802"/>
      <c r="K767" s="266"/>
      <c r="L767" s="245"/>
    </row>
    <row r="768" spans="2:12" x14ac:dyDescent="0.2">
      <c r="B768" s="243" t="s">
        <v>376</v>
      </c>
      <c r="C768" s="798" t="s">
        <v>407</v>
      </c>
      <c r="D768" s="799"/>
      <c r="E768" s="800"/>
      <c r="F768" s="801"/>
      <c r="G768" s="802"/>
      <c r="H768" s="436"/>
      <c r="I768" s="801"/>
      <c r="J768" s="802"/>
      <c r="K768" s="266"/>
      <c r="L768" s="245"/>
    </row>
    <row r="769" spans="2:12" x14ac:dyDescent="0.2">
      <c r="B769" s="805" t="s">
        <v>377</v>
      </c>
      <c r="C769" s="806"/>
      <c r="D769" s="806"/>
      <c r="E769" s="806"/>
      <c r="F769" s="806"/>
      <c r="G769" s="806"/>
      <c r="H769" s="806"/>
      <c r="I769" s="806"/>
      <c r="J769" s="807"/>
      <c r="K769" s="814" t="s">
        <v>378</v>
      </c>
      <c r="L769" s="815"/>
    </row>
    <row r="770" spans="2:12" x14ac:dyDescent="0.2">
      <c r="B770" s="808"/>
      <c r="C770" s="809"/>
      <c r="D770" s="809"/>
      <c r="E770" s="809"/>
      <c r="F770" s="809"/>
      <c r="G770" s="809"/>
      <c r="H770" s="809"/>
      <c r="I770" s="809"/>
      <c r="J770" s="810"/>
      <c r="K770" s="246" t="s">
        <v>379</v>
      </c>
      <c r="L770" s="245"/>
    </row>
    <row r="771" spans="2:12" x14ac:dyDescent="0.2">
      <c r="B771" s="808"/>
      <c r="C771" s="809"/>
      <c r="D771" s="809"/>
      <c r="E771" s="809"/>
      <c r="F771" s="809"/>
      <c r="G771" s="809"/>
      <c r="H771" s="809"/>
      <c r="I771" s="809"/>
      <c r="J771" s="810"/>
      <c r="K771" s="246" t="s">
        <v>380</v>
      </c>
      <c r="L771" s="245"/>
    </row>
    <row r="772" spans="2:12" ht="13.5" thickBot="1" x14ac:dyDescent="0.25">
      <c r="B772" s="811"/>
      <c r="C772" s="812"/>
      <c r="D772" s="812"/>
      <c r="E772" s="812"/>
      <c r="F772" s="812"/>
      <c r="G772" s="812"/>
      <c r="H772" s="812"/>
      <c r="I772" s="812"/>
      <c r="J772" s="813"/>
      <c r="K772" s="247" t="s">
        <v>381</v>
      </c>
      <c r="L772" s="248"/>
    </row>
    <row r="773" spans="2:12" x14ac:dyDescent="0.2">
      <c r="B773" s="362"/>
      <c r="C773" s="360"/>
      <c r="D773" s="360"/>
      <c r="E773" s="360"/>
      <c r="F773" s="360"/>
      <c r="G773" s="360"/>
      <c r="H773" s="360"/>
      <c r="I773" s="360"/>
      <c r="J773" s="360"/>
      <c r="K773" s="361"/>
      <c r="L773" s="430"/>
    </row>
    <row r="774" spans="2:12" x14ac:dyDescent="0.2">
      <c r="B774" s="364"/>
      <c r="C774" s="365"/>
      <c r="D774" s="365"/>
      <c r="E774" s="365"/>
      <c r="F774" s="365"/>
      <c r="G774" s="365"/>
      <c r="H774" s="365"/>
      <c r="I774" s="365"/>
      <c r="J774" s="365"/>
      <c r="K774" s="365"/>
      <c r="L774" s="366"/>
    </row>
    <row r="775" spans="2:12" x14ac:dyDescent="0.2">
      <c r="B775" s="758" t="s">
        <v>382</v>
      </c>
      <c r="C775" s="759"/>
      <c r="D775" s="759"/>
      <c r="E775" s="759"/>
      <c r="F775" s="759"/>
      <c r="G775" s="759"/>
      <c r="H775" s="759"/>
      <c r="I775" s="759"/>
      <c r="J775" s="759"/>
      <c r="K775" s="759"/>
      <c r="L775" s="760"/>
    </row>
    <row r="776" spans="2:12" x14ac:dyDescent="0.2">
      <c r="B776" s="300">
        <v>1</v>
      </c>
      <c r="C776" s="745" t="s">
        <v>499</v>
      </c>
      <c r="D776" s="746"/>
      <c r="E776" s="746"/>
      <c r="F776" s="746"/>
      <c r="G776" s="746"/>
      <c r="H776" s="746"/>
      <c r="I776" s="746"/>
      <c r="J776" s="746"/>
      <c r="K776" s="746"/>
      <c r="L776" s="747"/>
    </row>
    <row r="777" spans="2:12" x14ac:dyDescent="0.2">
      <c r="B777" s="427">
        <v>2</v>
      </c>
      <c r="C777" s="748" t="s">
        <v>500</v>
      </c>
      <c r="D777" s="749"/>
      <c r="E777" s="749"/>
      <c r="F777" s="749"/>
      <c r="G777" s="749"/>
      <c r="H777" s="749"/>
      <c r="I777" s="749"/>
      <c r="J777" s="749"/>
      <c r="K777" s="749"/>
      <c r="L777" s="750"/>
    </row>
    <row r="778" spans="2:12" x14ac:dyDescent="0.2">
      <c r="B778" s="429">
        <v>3</v>
      </c>
      <c r="C778" s="748" t="s">
        <v>511</v>
      </c>
      <c r="D778" s="749"/>
      <c r="E778" s="749"/>
      <c r="F778" s="749"/>
      <c r="G778" s="749"/>
      <c r="H778" s="749"/>
      <c r="I778" s="749"/>
      <c r="J778" s="749"/>
      <c r="K778" s="749"/>
      <c r="L778" s="750"/>
    </row>
    <row r="779" spans="2:12" x14ac:dyDescent="0.2">
      <c r="B779" s="356">
        <v>4</v>
      </c>
      <c r="C779" s="748" t="s">
        <v>512</v>
      </c>
      <c r="D779" s="749"/>
      <c r="E779" s="749"/>
      <c r="F779" s="749"/>
      <c r="G779" s="749"/>
      <c r="H779" s="749"/>
      <c r="I779" s="749"/>
      <c r="J779" s="749"/>
      <c r="K779" s="749"/>
      <c r="L779" s="750"/>
    </row>
    <row r="780" spans="2:12" x14ac:dyDescent="0.2">
      <c r="B780" s="300">
        <v>5</v>
      </c>
      <c r="C780" s="748" t="s">
        <v>509</v>
      </c>
      <c r="D780" s="749"/>
      <c r="E780" s="749"/>
      <c r="F780" s="749"/>
      <c r="G780" s="749"/>
      <c r="H780" s="749"/>
      <c r="I780" s="749"/>
      <c r="J780" s="749"/>
      <c r="K780" s="749"/>
      <c r="L780" s="750"/>
    </row>
    <row r="781" spans="2:12" x14ac:dyDescent="0.2">
      <c r="B781" s="758" t="s">
        <v>386</v>
      </c>
      <c r="C781" s="759"/>
      <c r="D781" s="759"/>
      <c r="E781" s="759"/>
      <c r="F781" s="759"/>
      <c r="G781" s="759"/>
      <c r="H781" s="759"/>
      <c r="I781" s="759"/>
      <c r="J781" s="759"/>
      <c r="K781" s="759"/>
      <c r="L781" s="760"/>
    </row>
    <row r="782" spans="2:12" x14ac:dyDescent="0.2">
      <c r="B782" s="269"/>
      <c r="C782" s="757"/>
      <c r="D782" s="746"/>
      <c r="E782" s="746"/>
      <c r="F782" s="746"/>
      <c r="G782" s="746"/>
      <c r="H782" s="746"/>
      <c r="I782" s="746"/>
      <c r="J782" s="746"/>
      <c r="K782" s="746"/>
      <c r="L782" s="747"/>
    </row>
    <row r="783" spans="2:12" x14ac:dyDescent="0.2">
      <c r="B783" s="269"/>
      <c r="C783" s="757"/>
      <c r="D783" s="746"/>
      <c r="E783" s="746"/>
      <c r="F783" s="746"/>
      <c r="G783" s="746"/>
      <c r="H783" s="746"/>
      <c r="I783" s="746"/>
      <c r="J783" s="746"/>
      <c r="K783" s="746"/>
      <c r="L783" s="747"/>
    </row>
    <row r="784" spans="2:12" x14ac:dyDescent="0.2">
      <c r="B784" s="269"/>
      <c r="C784" s="757"/>
      <c r="D784" s="746"/>
      <c r="E784" s="746"/>
      <c r="F784" s="746"/>
      <c r="G784" s="746"/>
      <c r="H784" s="746"/>
      <c r="I784" s="746"/>
      <c r="J784" s="746"/>
      <c r="K784" s="746"/>
      <c r="L784" s="747"/>
    </row>
    <row r="785" spans="2:12" x14ac:dyDescent="0.2">
      <c r="B785" s="758" t="s">
        <v>387</v>
      </c>
      <c r="C785" s="759"/>
      <c r="D785" s="759"/>
      <c r="E785" s="759"/>
      <c r="F785" s="759"/>
      <c r="G785" s="759"/>
      <c r="H785" s="759"/>
      <c r="I785" s="759"/>
      <c r="J785" s="759"/>
      <c r="K785" s="759"/>
      <c r="L785" s="760"/>
    </row>
    <row r="786" spans="2:12" x14ac:dyDescent="0.2">
      <c r="B786" s="269">
        <v>1</v>
      </c>
      <c r="C786" s="745" t="s">
        <v>501</v>
      </c>
      <c r="D786" s="746"/>
      <c r="E786" s="746"/>
      <c r="F786" s="746"/>
      <c r="G786" s="746"/>
      <c r="H786" s="746"/>
      <c r="I786" s="746"/>
      <c r="J786" s="746"/>
      <c r="K786" s="746"/>
      <c r="L786" s="747"/>
    </row>
    <row r="787" spans="2:12" x14ac:dyDescent="0.2">
      <c r="B787" s="269"/>
      <c r="C787" s="745" t="s">
        <v>519</v>
      </c>
      <c r="D787" s="746"/>
      <c r="E787" s="746"/>
      <c r="F787" s="746"/>
      <c r="G787" s="746"/>
      <c r="H787" s="746"/>
      <c r="I787" s="746"/>
      <c r="J787" s="746"/>
      <c r="K787" s="746"/>
      <c r="L787" s="747"/>
    </row>
    <row r="788" spans="2:12" x14ac:dyDescent="0.2">
      <c r="B788" s="269">
        <v>2</v>
      </c>
      <c r="C788" s="745" t="s">
        <v>505</v>
      </c>
      <c r="D788" s="746"/>
      <c r="E788" s="746"/>
      <c r="F788" s="746"/>
      <c r="G788" s="746"/>
      <c r="H788" s="746"/>
      <c r="I788" s="746"/>
      <c r="J788" s="746"/>
      <c r="K788" s="746"/>
      <c r="L788" s="747"/>
    </row>
    <row r="789" spans="2:12" x14ac:dyDescent="0.2">
      <c r="B789" s="269">
        <v>3</v>
      </c>
      <c r="C789" s="754" t="s">
        <v>510</v>
      </c>
      <c r="D789" s="755"/>
      <c r="E789" s="755"/>
      <c r="F789" s="755"/>
      <c r="G789" s="755"/>
      <c r="H789" s="755"/>
      <c r="I789" s="755"/>
      <c r="J789" s="755"/>
      <c r="K789" s="755"/>
      <c r="L789" s="756"/>
    </row>
    <row r="790" spans="2:12" x14ac:dyDescent="0.2">
      <c r="B790" s="368">
        <v>4</v>
      </c>
      <c r="C790" s="745" t="s">
        <v>506</v>
      </c>
      <c r="D790" s="746"/>
      <c r="E790" s="746"/>
      <c r="F790" s="746"/>
      <c r="G790" s="746"/>
      <c r="H790" s="746"/>
      <c r="I790" s="746"/>
      <c r="J790" s="746"/>
      <c r="K790" s="746"/>
      <c r="L790" s="747"/>
    </row>
    <row r="791" spans="2:12" x14ac:dyDescent="0.2">
      <c r="B791" s="761" t="s">
        <v>383</v>
      </c>
      <c r="C791" s="762"/>
      <c r="D791" s="762"/>
      <c r="E791" s="762"/>
      <c r="F791" s="762"/>
      <c r="G791" s="762"/>
      <c r="H791" s="762"/>
      <c r="I791" s="762"/>
      <c r="J791" s="762"/>
      <c r="K791" s="762"/>
      <c r="L791" s="763"/>
    </row>
    <row r="792" spans="2:12" x14ac:dyDescent="0.2">
      <c r="B792" s="764" t="s">
        <v>446</v>
      </c>
      <c r="C792" s="746"/>
      <c r="D792" s="746"/>
      <c r="E792" s="746"/>
      <c r="F792" s="746"/>
      <c r="G792" s="746"/>
      <c r="H792" s="746"/>
      <c r="I792" s="746"/>
      <c r="J792" s="746"/>
      <c r="K792" s="746"/>
      <c r="L792" s="747"/>
    </row>
    <row r="793" spans="2:12" x14ac:dyDescent="0.2">
      <c r="B793" s="764"/>
      <c r="C793" s="746"/>
      <c r="D793" s="746"/>
      <c r="E793" s="746"/>
      <c r="F793" s="746"/>
      <c r="G793" s="746"/>
      <c r="H793" s="746"/>
      <c r="I793" s="746"/>
      <c r="J793" s="746"/>
      <c r="K793" s="746"/>
      <c r="L793" s="747"/>
    </row>
    <row r="794" spans="2:12" x14ac:dyDescent="0.2">
      <c r="B794" s="764"/>
      <c r="C794" s="746"/>
      <c r="D794" s="746"/>
      <c r="E794" s="746"/>
      <c r="F794" s="746"/>
      <c r="G794" s="746"/>
      <c r="H794" s="746"/>
      <c r="I794" s="746"/>
      <c r="J794" s="746"/>
      <c r="K794" s="746"/>
      <c r="L794" s="747"/>
    </row>
    <row r="795" spans="2:12" x14ac:dyDescent="0.2">
      <c r="B795" s="764"/>
      <c r="C795" s="746"/>
      <c r="D795" s="746"/>
      <c r="E795" s="746"/>
      <c r="F795" s="746"/>
      <c r="G795" s="746"/>
      <c r="H795" s="746"/>
      <c r="I795" s="746"/>
      <c r="J795" s="746"/>
      <c r="K795" s="746"/>
      <c r="L795" s="747"/>
    </row>
    <row r="796" spans="2:12" x14ac:dyDescent="0.2">
      <c r="B796" s="768"/>
      <c r="C796" s="769"/>
      <c r="D796" s="769"/>
      <c r="E796" s="769"/>
      <c r="F796" s="769"/>
      <c r="G796" s="431"/>
      <c r="H796" s="769"/>
      <c r="I796" s="769"/>
      <c r="J796" s="769"/>
      <c r="K796" s="769"/>
      <c r="L796" s="774"/>
    </row>
    <row r="797" spans="2:12" x14ac:dyDescent="0.2">
      <c r="B797" s="770"/>
      <c r="C797" s="771"/>
      <c r="D797" s="771"/>
      <c r="E797" s="771"/>
      <c r="F797" s="771"/>
      <c r="G797" s="432"/>
      <c r="H797" s="771"/>
      <c r="I797" s="771"/>
      <c r="J797" s="771"/>
      <c r="K797" s="771"/>
      <c r="L797" s="775"/>
    </row>
    <row r="798" spans="2:12" x14ac:dyDescent="0.2">
      <c r="B798" s="770"/>
      <c r="C798" s="771"/>
      <c r="D798" s="771"/>
      <c r="E798" s="771"/>
      <c r="F798" s="771"/>
      <c r="G798" s="432"/>
      <c r="H798" s="771"/>
      <c r="I798" s="771"/>
      <c r="J798" s="771"/>
      <c r="K798" s="771"/>
      <c r="L798" s="775"/>
    </row>
    <row r="799" spans="2:12" x14ac:dyDescent="0.2">
      <c r="B799" s="772"/>
      <c r="C799" s="773"/>
      <c r="D799" s="773"/>
      <c r="E799" s="773"/>
      <c r="F799" s="773"/>
      <c r="G799" s="433"/>
      <c r="H799" s="773"/>
      <c r="I799" s="773"/>
      <c r="J799" s="773"/>
      <c r="K799" s="773"/>
      <c r="L799" s="776"/>
    </row>
    <row r="800" spans="2:12" ht="13.5" thickBot="1" x14ac:dyDescent="0.25">
      <c r="B800" s="751" t="s">
        <v>384</v>
      </c>
      <c r="C800" s="752"/>
      <c r="D800" s="752"/>
      <c r="E800" s="752"/>
      <c r="F800" s="752"/>
      <c r="G800" s="434"/>
      <c r="H800" s="752" t="s">
        <v>385</v>
      </c>
      <c r="I800" s="752"/>
      <c r="J800" s="752"/>
      <c r="K800" s="752"/>
      <c r="L800" s="753"/>
    </row>
    <row r="802" spans="2:12" ht="13.5" thickBot="1" x14ac:dyDescent="0.25"/>
    <row r="803" spans="2:12" ht="23.25" x14ac:dyDescent="0.2">
      <c r="B803" s="862" t="s">
        <v>336</v>
      </c>
      <c r="C803" s="863"/>
      <c r="D803" s="863"/>
      <c r="E803" s="863"/>
      <c r="F803" s="863"/>
      <c r="G803" s="863"/>
      <c r="H803" s="863"/>
      <c r="I803" s="863"/>
      <c r="J803" s="863"/>
      <c r="K803" s="863"/>
      <c r="L803" s="864"/>
    </row>
    <row r="804" spans="2:12" ht="20.25" x14ac:dyDescent="0.2">
      <c r="B804" s="20"/>
      <c r="C804" s="21"/>
      <c r="D804" s="210"/>
      <c r="E804" s="210"/>
      <c r="F804" s="210"/>
      <c r="G804" s="210"/>
      <c r="H804" s="210"/>
      <c r="I804" s="210"/>
      <c r="J804" s="210"/>
      <c r="K804" s="211" t="str">
        <f>("DATA ATUAL:"&amp;"    "&amp;UPPER(LEFT(TEXT(L804,"DDDD"),7)))</f>
        <v>DATA ATUAL:    SEXTA-F</v>
      </c>
      <c r="L804" s="253">
        <v>44680</v>
      </c>
    </row>
    <row r="805" spans="2:12" ht="20.25" x14ac:dyDescent="0.2">
      <c r="B805" s="20"/>
      <c r="C805" s="21"/>
      <c r="D805" s="212"/>
      <c r="E805" s="212"/>
      <c r="F805" s="212"/>
      <c r="G805" s="212"/>
      <c r="H805" s="212"/>
      <c r="I805" s="212"/>
      <c r="J805" s="212"/>
      <c r="K805" s="211" t="s">
        <v>337</v>
      </c>
      <c r="L805" s="359">
        <v>10</v>
      </c>
    </row>
    <row r="806" spans="2:12" ht="20.25" x14ac:dyDescent="0.2">
      <c r="B806" s="20"/>
      <c r="C806" s="21"/>
      <c r="D806" s="865" t="s">
        <v>338</v>
      </c>
      <c r="E806" s="865"/>
      <c r="F806" s="865"/>
      <c r="G806" s="865"/>
      <c r="H806" s="865"/>
      <c r="I806" s="865"/>
      <c r="J806" s="212"/>
      <c r="K806" s="211" t="s">
        <v>339</v>
      </c>
      <c r="L806" s="255">
        <f>IFERROR(IF(AND(L811&gt;0,L810&gt;0),L811-L810,0),"")</f>
        <v>31</v>
      </c>
    </row>
    <row r="807" spans="2:12" x14ac:dyDescent="0.2">
      <c r="B807" s="20"/>
      <c r="C807" s="21"/>
      <c r="D807" s="866" t="s">
        <v>340</v>
      </c>
      <c r="E807" s="866"/>
      <c r="F807" s="866"/>
      <c r="G807" s="866"/>
      <c r="H807" s="866"/>
      <c r="I807" s="866"/>
      <c r="J807" s="213"/>
      <c r="K807" s="211" t="s">
        <v>341</v>
      </c>
      <c r="L807" s="255">
        <f>IF(OR(AND(K855&lt;&gt;"",K856&lt;&gt;"",K857&lt;&gt;""),AND(D851&lt;&gt;"",F851&lt;&gt;"")),IF(L810&gt;0,NETWORKDAYS.INTL(L810,L804,11),0),IF(L810&gt;0,NETWORKDAYS.INTL(L810,L804,11),0))</f>
        <v>10</v>
      </c>
    </row>
    <row r="808" spans="2:12" x14ac:dyDescent="0.2">
      <c r="B808" s="20"/>
      <c r="C808" s="21"/>
      <c r="D808" s="867" t="s">
        <v>342</v>
      </c>
      <c r="E808" s="867"/>
      <c r="F808" s="867"/>
      <c r="G808" s="867"/>
      <c r="H808" s="867"/>
      <c r="I808" s="867"/>
      <c r="J808" s="214"/>
      <c r="K808" s="211" t="s">
        <v>343</v>
      </c>
      <c r="L808" s="255">
        <f>IFERROR(L806-L807,"")</f>
        <v>21</v>
      </c>
    </row>
    <row r="809" spans="2:12" x14ac:dyDescent="0.2">
      <c r="B809" s="758" t="s">
        <v>344</v>
      </c>
      <c r="C809" s="759"/>
      <c r="D809" s="759"/>
      <c r="E809" s="759"/>
      <c r="F809" s="759"/>
      <c r="G809" s="759"/>
      <c r="H809" s="759"/>
      <c r="I809" s="759"/>
      <c r="J809" s="759"/>
      <c r="K809" s="759"/>
      <c r="L809" s="760"/>
    </row>
    <row r="810" spans="2:12" x14ac:dyDescent="0.2">
      <c r="B810" s="868" t="s">
        <v>345</v>
      </c>
      <c r="C810" s="852"/>
      <c r="D810" s="852" t="s">
        <v>404</v>
      </c>
      <c r="E810" s="852"/>
      <c r="F810" s="852"/>
      <c r="G810" s="852"/>
      <c r="H810" s="852"/>
      <c r="I810" s="852"/>
      <c r="J810" s="852"/>
      <c r="K810" s="216" t="s">
        <v>346</v>
      </c>
      <c r="L810" s="217">
        <v>44670</v>
      </c>
    </row>
    <row r="811" spans="2:12" x14ac:dyDescent="0.2">
      <c r="B811" s="458" t="s">
        <v>347</v>
      </c>
      <c r="C811" s="852"/>
      <c r="D811" s="852"/>
      <c r="E811" s="852"/>
      <c r="F811" s="852"/>
      <c r="G811" s="852"/>
      <c r="H811" s="852"/>
      <c r="I811" s="852"/>
      <c r="J811" s="852"/>
      <c r="K811" s="216" t="s">
        <v>348</v>
      </c>
      <c r="L811" s="217">
        <v>44701</v>
      </c>
    </row>
    <row r="812" spans="2:12" x14ac:dyDescent="0.2">
      <c r="B812" s="868" t="s">
        <v>349</v>
      </c>
      <c r="C812" s="852"/>
      <c r="D812" s="852" t="s">
        <v>405</v>
      </c>
      <c r="E812" s="852"/>
      <c r="F812" s="852"/>
      <c r="G812" s="852"/>
      <c r="H812" s="852"/>
      <c r="I812" s="852"/>
      <c r="J812" s="852"/>
      <c r="K812" s="852"/>
      <c r="L812" s="853"/>
    </row>
    <row r="813" spans="2:12" x14ac:dyDescent="0.2">
      <c r="B813" s="868" t="s">
        <v>350</v>
      </c>
      <c r="C813" s="869"/>
      <c r="D813" s="869"/>
      <c r="E813" s="852" t="s">
        <v>402</v>
      </c>
      <c r="F813" s="852"/>
      <c r="G813" s="852"/>
      <c r="H813" s="852"/>
      <c r="I813" s="852"/>
      <c r="J813" s="852"/>
      <c r="K813" s="852"/>
      <c r="L813" s="853"/>
    </row>
    <row r="814" spans="2:12" x14ac:dyDescent="0.2">
      <c r="B814" s="458" t="s">
        <v>351</v>
      </c>
      <c r="C814" s="459"/>
      <c r="D814" s="870"/>
      <c r="E814" s="870"/>
      <c r="F814" s="870"/>
      <c r="G814" s="870"/>
      <c r="H814" s="870"/>
      <c r="I814" s="870"/>
      <c r="J814" s="870"/>
      <c r="K814" s="870"/>
      <c r="L814" s="871"/>
    </row>
    <row r="815" spans="2:12" x14ac:dyDescent="0.2">
      <c r="B815" s="758" t="s">
        <v>352</v>
      </c>
      <c r="C815" s="759"/>
      <c r="D815" s="759"/>
      <c r="E815" s="759"/>
      <c r="F815" s="759"/>
      <c r="G815" s="759"/>
      <c r="H815" s="759"/>
      <c r="I815" s="759"/>
      <c r="J815" s="759"/>
      <c r="K815" s="759"/>
      <c r="L815" s="760"/>
    </row>
    <row r="816" spans="2:12" x14ac:dyDescent="0.2">
      <c r="B816" s="868" t="s">
        <v>353</v>
      </c>
      <c r="C816" s="869"/>
      <c r="D816" s="869"/>
      <c r="E816" s="852"/>
      <c r="F816" s="852"/>
      <c r="G816" s="852"/>
      <c r="H816" s="852"/>
      <c r="I816" s="852"/>
      <c r="J816" s="852"/>
      <c r="K816" s="852"/>
      <c r="L816" s="853"/>
    </row>
    <row r="817" spans="2:12" x14ac:dyDescent="0.2">
      <c r="B817" s="219" t="s">
        <v>321</v>
      </c>
      <c r="C817" s="852"/>
      <c r="D817" s="852"/>
      <c r="E817" s="852"/>
      <c r="F817" s="852"/>
      <c r="G817" s="852"/>
      <c r="H817" s="852"/>
      <c r="I817" s="852"/>
      <c r="J817" s="852"/>
      <c r="K817" s="852"/>
      <c r="L817" s="853"/>
    </row>
    <row r="818" spans="2:12" x14ac:dyDescent="0.2">
      <c r="B818" s="219" t="s">
        <v>351</v>
      </c>
      <c r="C818" s="852"/>
      <c r="D818" s="852"/>
      <c r="E818" s="852"/>
      <c r="F818" s="852"/>
      <c r="G818" s="852"/>
      <c r="H818" s="852"/>
      <c r="I818" s="852"/>
      <c r="J818" s="852"/>
      <c r="K818" s="852"/>
      <c r="L818" s="853"/>
    </row>
    <row r="819" spans="2:12" x14ac:dyDescent="0.2">
      <c r="B819" s="219" t="s">
        <v>354</v>
      </c>
      <c r="C819" s="852"/>
      <c r="D819" s="852"/>
      <c r="E819" s="852"/>
      <c r="F819" s="852"/>
      <c r="G819" s="852"/>
      <c r="H819" s="852"/>
      <c r="I819" s="852"/>
      <c r="J819" s="852"/>
      <c r="K819" s="852"/>
      <c r="L819" s="853"/>
    </row>
    <row r="820" spans="2:12" x14ac:dyDescent="0.2">
      <c r="B820" s="758" t="s">
        <v>355</v>
      </c>
      <c r="C820" s="759"/>
      <c r="D820" s="759"/>
      <c r="E820" s="759"/>
      <c r="F820" s="759"/>
      <c r="G820" s="759"/>
      <c r="H820" s="759"/>
      <c r="I820" s="759"/>
      <c r="J820" s="759"/>
      <c r="K820" s="759"/>
      <c r="L820" s="760"/>
    </row>
    <row r="821" spans="2:12" x14ac:dyDescent="0.2">
      <c r="B821" s="803" t="s">
        <v>356</v>
      </c>
      <c r="C821" s="782"/>
      <c r="D821" s="782"/>
      <c r="E821" s="782"/>
      <c r="F821" s="782"/>
      <c r="G821" s="782"/>
      <c r="H821" s="782"/>
      <c r="I821" s="782"/>
      <c r="J821" s="782"/>
      <c r="K821" s="782"/>
      <c r="L821" s="804"/>
    </row>
    <row r="822" spans="2:12" x14ac:dyDescent="0.2">
      <c r="B822" s="854" t="s">
        <v>357</v>
      </c>
      <c r="C822" s="824"/>
      <c r="D822" s="825"/>
      <c r="E822" s="840" t="s">
        <v>358</v>
      </c>
      <c r="F822" s="841"/>
      <c r="G822" s="841"/>
      <c r="H822" s="841"/>
      <c r="I822" s="841"/>
      <c r="J822" s="841"/>
      <c r="K822" s="842"/>
      <c r="L822" s="855" t="s">
        <v>359</v>
      </c>
    </row>
    <row r="823" spans="2:12" x14ac:dyDescent="0.2">
      <c r="B823" s="854"/>
      <c r="C823" s="824"/>
      <c r="D823" s="825"/>
      <c r="E823" s="843"/>
      <c r="F823" s="844"/>
      <c r="G823" s="844"/>
      <c r="H823" s="844"/>
      <c r="I823" s="844"/>
      <c r="J823" s="844"/>
      <c r="K823" s="845"/>
      <c r="L823" s="856"/>
    </row>
    <row r="824" spans="2:12" x14ac:dyDescent="0.2">
      <c r="B824" s="857" t="s">
        <v>400</v>
      </c>
      <c r="C824" s="746"/>
      <c r="D824" s="858"/>
      <c r="E824" s="748" t="s">
        <v>412</v>
      </c>
      <c r="F824" s="859"/>
      <c r="G824" s="859"/>
      <c r="H824" s="859"/>
      <c r="I824" s="859"/>
      <c r="J824" s="859"/>
      <c r="K824" s="858"/>
      <c r="L824" s="220">
        <v>2</v>
      </c>
    </row>
    <row r="825" spans="2:12" x14ac:dyDescent="0.2">
      <c r="B825" s="764" t="s">
        <v>416</v>
      </c>
      <c r="C825" s="746"/>
      <c r="D825" s="858"/>
      <c r="E825" s="860" t="s">
        <v>417</v>
      </c>
      <c r="F825" s="859"/>
      <c r="G825" s="859"/>
      <c r="H825" s="859"/>
      <c r="I825" s="859"/>
      <c r="J825" s="859"/>
      <c r="K825" s="858"/>
      <c r="L825" s="220">
        <v>1</v>
      </c>
    </row>
    <row r="826" spans="2:12" x14ac:dyDescent="0.2">
      <c r="B826" s="764" t="s">
        <v>411</v>
      </c>
      <c r="C826" s="859"/>
      <c r="D826" s="858"/>
      <c r="E826" s="860" t="s">
        <v>413</v>
      </c>
      <c r="F826" s="859"/>
      <c r="G826" s="859"/>
      <c r="H826" s="859"/>
      <c r="I826" s="859"/>
      <c r="J826" s="859"/>
      <c r="K826" s="858"/>
      <c r="L826" s="221">
        <v>1</v>
      </c>
    </row>
    <row r="827" spans="2:12" x14ac:dyDescent="0.2">
      <c r="B827" s="764"/>
      <c r="C827" s="859"/>
      <c r="D827" s="858"/>
      <c r="E827" s="860"/>
      <c r="F827" s="859"/>
      <c r="G827" s="859"/>
      <c r="H827" s="859"/>
      <c r="I827" s="859"/>
      <c r="J827" s="859"/>
      <c r="K827" s="858"/>
      <c r="L827" s="221"/>
    </row>
    <row r="828" spans="2:12" x14ac:dyDescent="0.2">
      <c r="B828" s="777" t="s">
        <v>360</v>
      </c>
      <c r="C828" s="861"/>
      <c r="D828" s="861"/>
      <c r="E828" s="861"/>
      <c r="F828" s="861"/>
      <c r="G828" s="861"/>
      <c r="H828" s="861"/>
      <c r="I828" s="861"/>
      <c r="J828" s="861"/>
      <c r="K828" s="779"/>
      <c r="L828" s="224">
        <f>SUM(L824:L827)</f>
        <v>4</v>
      </c>
    </row>
    <row r="829" spans="2:12" x14ac:dyDescent="0.2">
      <c r="B829" s="803" t="s">
        <v>361</v>
      </c>
      <c r="C829" s="782"/>
      <c r="D829" s="782"/>
      <c r="E829" s="782"/>
      <c r="F829" s="782"/>
      <c r="G829" s="782"/>
      <c r="H829" s="782"/>
      <c r="I829" s="782"/>
      <c r="J829" s="782"/>
      <c r="K829" s="782"/>
      <c r="L829" s="804"/>
    </row>
    <row r="830" spans="2:12" x14ac:dyDescent="0.2">
      <c r="B830" s="834" t="s">
        <v>362</v>
      </c>
      <c r="C830" s="840" t="s">
        <v>357</v>
      </c>
      <c r="D830" s="842"/>
      <c r="E830" s="840" t="s">
        <v>358</v>
      </c>
      <c r="F830" s="841"/>
      <c r="G830" s="841"/>
      <c r="H830" s="841"/>
      <c r="I830" s="841"/>
      <c r="J830" s="841"/>
      <c r="K830" s="842"/>
      <c r="L830" s="816" t="s">
        <v>359</v>
      </c>
    </row>
    <row r="831" spans="2:12" x14ac:dyDescent="0.2">
      <c r="B831" s="835"/>
      <c r="C831" s="843"/>
      <c r="D831" s="845"/>
      <c r="E831" s="843"/>
      <c r="F831" s="844"/>
      <c r="G831" s="844"/>
      <c r="H831" s="844"/>
      <c r="I831" s="844"/>
      <c r="J831" s="844"/>
      <c r="K831" s="845"/>
      <c r="L831" s="817"/>
    </row>
    <row r="832" spans="2:12" x14ac:dyDescent="0.2">
      <c r="B832" s="456"/>
      <c r="C832" s="818"/>
      <c r="D832" s="819"/>
      <c r="E832" s="820"/>
      <c r="F832" s="821"/>
      <c r="G832" s="821"/>
      <c r="H832" s="821"/>
      <c r="I832" s="821"/>
      <c r="J832" s="821"/>
      <c r="K832" s="822"/>
      <c r="L832" s="457"/>
    </row>
    <row r="833" spans="2:12" x14ac:dyDescent="0.2">
      <c r="B833" s="456"/>
      <c r="C833" s="818"/>
      <c r="D833" s="819"/>
      <c r="E833" s="820"/>
      <c r="F833" s="821"/>
      <c r="G833" s="821"/>
      <c r="H833" s="821"/>
      <c r="I833" s="821"/>
      <c r="J833" s="821"/>
      <c r="K833" s="822"/>
      <c r="L833" s="457"/>
    </row>
    <row r="834" spans="2:12" x14ac:dyDescent="0.2">
      <c r="B834" s="456"/>
      <c r="C834" s="818"/>
      <c r="D834" s="819"/>
      <c r="E834" s="823"/>
      <c r="F834" s="824"/>
      <c r="G834" s="824"/>
      <c r="H834" s="824"/>
      <c r="I834" s="824"/>
      <c r="J834" s="824"/>
      <c r="K834" s="825"/>
      <c r="L834" s="457"/>
    </row>
    <row r="835" spans="2:12" x14ac:dyDescent="0.2">
      <c r="B835" s="456"/>
      <c r="C835" s="818"/>
      <c r="D835" s="819"/>
      <c r="E835" s="823"/>
      <c r="F835" s="824"/>
      <c r="G835" s="824"/>
      <c r="H835" s="824"/>
      <c r="I835" s="824"/>
      <c r="J835" s="824"/>
      <c r="K835" s="825"/>
      <c r="L835" s="457"/>
    </row>
    <row r="836" spans="2:12" x14ac:dyDescent="0.2">
      <c r="B836" s="456"/>
      <c r="C836" s="818"/>
      <c r="D836" s="819"/>
      <c r="E836" s="823"/>
      <c r="F836" s="824"/>
      <c r="G836" s="824"/>
      <c r="H836" s="824"/>
      <c r="I836" s="824"/>
      <c r="J836" s="824"/>
      <c r="K836" s="825"/>
      <c r="L836" s="457"/>
    </row>
    <row r="837" spans="2:12" x14ac:dyDescent="0.2">
      <c r="B837" s="826" t="s">
        <v>360</v>
      </c>
      <c r="C837" s="827"/>
      <c r="D837" s="827"/>
      <c r="E837" s="827"/>
      <c r="F837" s="827"/>
      <c r="G837" s="827"/>
      <c r="H837" s="827"/>
      <c r="I837" s="827"/>
      <c r="J837" s="827"/>
      <c r="K837" s="828"/>
      <c r="L837" s="227">
        <f>SUM(L832:L836)</f>
        <v>0</v>
      </c>
    </row>
    <row r="838" spans="2:12" x14ac:dyDescent="0.2">
      <c r="B838" s="829" t="s">
        <v>406</v>
      </c>
      <c r="C838" s="830"/>
      <c r="D838" s="830"/>
      <c r="E838" s="830"/>
      <c r="F838" s="830"/>
      <c r="G838" s="830"/>
      <c r="H838" s="830"/>
      <c r="I838" s="830"/>
      <c r="J838" s="830"/>
      <c r="K838" s="831"/>
      <c r="L838" s="228">
        <f>L837+L828</f>
        <v>4</v>
      </c>
    </row>
    <row r="839" spans="2:12" x14ac:dyDescent="0.2">
      <c r="B839" s="758" t="s">
        <v>215</v>
      </c>
      <c r="C839" s="759"/>
      <c r="D839" s="759"/>
      <c r="E839" s="759"/>
      <c r="F839" s="759"/>
      <c r="G839" s="759"/>
      <c r="H839" s="759"/>
      <c r="I839" s="759"/>
      <c r="J839" s="759"/>
      <c r="K839" s="759"/>
      <c r="L839" s="760"/>
    </row>
    <row r="840" spans="2:12" x14ac:dyDescent="0.2">
      <c r="B840" s="803" t="s">
        <v>363</v>
      </c>
      <c r="C840" s="782"/>
      <c r="D840" s="782"/>
      <c r="E840" s="782"/>
      <c r="F840" s="782"/>
      <c r="G840" s="782"/>
      <c r="H840" s="782"/>
      <c r="I840" s="782"/>
      <c r="J840" s="803" t="s">
        <v>364</v>
      </c>
      <c r="K840" s="782"/>
      <c r="L840" s="804"/>
    </row>
    <row r="841" spans="2:12" x14ac:dyDescent="0.2">
      <c r="B841" s="834" t="s">
        <v>362</v>
      </c>
      <c r="C841" s="836" t="s">
        <v>29</v>
      </c>
      <c r="D841" s="837"/>
      <c r="E841" s="840" t="s">
        <v>1</v>
      </c>
      <c r="F841" s="841"/>
      <c r="G841" s="841"/>
      <c r="H841" s="842"/>
      <c r="I841" s="846" t="s">
        <v>359</v>
      </c>
      <c r="J841" s="848" t="s">
        <v>29</v>
      </c>
      <c r="K841" s="850" t="s">
        <v>1</v>
      </c>
      <c r="L841" s="846" t="s">
        <v>365</v>
      </c>
    </row>
    <row r="842" spans="2:12" x14ac:dyDescent="0.2">
      <c r="B842" s="835"/>
      <c r="C842" s="838"/>
      <c r="D842" s="839"/>
      <c r="E842" s="843"/>
      <c r="F842" s="844"/>
      <c r="G842" s="844"/>
      <c r="H842" s="845"/>
      <c r="I842" s="847"/>
      <c r="J842" s="849"/>
      <c r="K842" s="851"/>
      <c r="L842" s="847"/>
    </row>
    <row r="843" spans="2:12" x14ac:dyDescent="0.2">
      <c r="B843" s="229"/>
      <c r="C843" s="832"/>
      <c r="D843" s="822"/>
      <c r="E843" s="832"/>
      <c r="F843" s="833"/>
      <c r="G843" s="833"/>
      <c r="H843" s="822"/>
      <c r="I843" s="231"/>
      <c r="J843" s="455"/>
      <c r="K843" s="446"/>
      <c r="L843" s="221"/>
    </row>
    <row r="844" spans="2:12" x14ac:dyDescent="0.2">
      <c r="B844" s="229"/>
      <c r="C844" s="832"/>
      <c r="D844" s="822"/>
      <c r="E844" s="832"/>
      <c r="F844" s="833"/>
      <c r="G844" s="833"/>
      <c r="H844" s="822"/>
      <c r="I844" s="234"/>
      <c r="J844" s="235"/>
      <c r="K844" s="236"/>
      <c r="L844" s="237"/>
    </row>
    <row r="845" spans="2:12" x14ac:dyDescent="0.2">
      <c r="B845" s="229"/>
      <c r="C845" s="832"/>
      <c r="D845" s="822"/>
      <c r="E845" s="832"/>
      <c r="F845" s="833"/>
      <c r="G845" s="833"/>
      <c r="H845" s="822"/>
      <c r="I845" s="239"/>
      <c r="J845" s="230"/>
      <c r="K845" s="238"/>
      <c r="L845" s="220"/>
    </row>
    <row r="846" spans="2:12" x14ac:dyDescent="0.2">
      <c r="B846" s="777" t="s">
        <v>366</v>
      </c>
      <c r="C846" s="778"/>
      <c r="D846" s="778"/>
      <c r="E846" s="778"/>
      <c r="F846" s="778"/>
      <c r="G846" s="778"/>
      <c r="H846" s="779"/>
      <c r="I846" s="252">
        <f>SUM(I843:I845)</f>
        <v>0</v>
      </c>
      <c r="J846" s="780" t="s">
        <v>366</v>
      </c>
      <c r="K846" s="781"/>
      <c r="L846" s="240">
        <f>SUM(L843:L845)</f>
        <v>0</v>
      </c>
    </row>
    <row r="847" spans="2:12" x14ac:dyDescent="0.2">
      <c r="B847" s="777" t="s">
        <v>27</v>
      </c>
      <c r="C847" s="778"/>
      <c r="D847" s="778"/>
      <c r="E847" s="778"/>
      <c r="F847" s="778"/>
      <c r="G847" s="778"/>
      <c r="H847" s="778"/>
      <c r="I847" s="778"/>
      <c r="J847" s="778"/>
      <c r="K847" s="779"/>
      <c r="L847" s="240">
        <f>L846+I846</f>
        <v>0</v>
      </c>
    </row>
    <row r="848" spans="2:12" x14ac:dyDescent="0.2">
      <c r="B848" s="758" t="s">
        <v>388</v>
      </c>
      <c r="C848" s="759"/>
      <c r="D848" s="759"/>
      <c r="E848" s="759"/>
      <c r="F848" s="759"/>
      <c r="G848" s="759"/>
      <c r="H848" s="759"/>
      <c r="I848" s="759"/>
      <c r="J848" s="759"/>
      <c r="K848" s="759"/>
      <c r="L848" s="760"/>
    </row>
    <row r="849" spans="2:12" x14ac:dyDescent="0.2">
      <c r="B849" s="803" t="s">
        <v>368</v>
      </c>
      <c r="C849" s="782"/>
      <c r="D849" s="804"/>
      <c r="E849" s="782" t="s">
        <v>394</v>
      </c>
      <c r="F849" s="782"/>
      <c r="G849" s="783" t="s">
        <v>389</v>
      </c>
      <c r="H849" s="784"/>
      <c r="I849" s="784"/>
      <c r="J849" s="784"/>
      <c r="K849" s="784"/>
      <c r="L849" s="785"/>
    </row>
    <row r="850" spans="2:12" x14ac:dyDescent="0.2">
      <c r="B850" s="786" t="s">
        <v>393</v>
      </c>
      <c r="C850" s="787"/>
      <c r="D850" s="265" t="s">
        <v>390</v>
      </c>
      <c r="E850" s="453" t="s">
        <v>391</v>
      </c>
      <c r="F850" s="264" t="s">
        <v>392</v>
      </c>
      <c r="G850" s="452"/>
      <c r="H850" s="453"/>
      <c r="I850" s="453"/>
      <c r="J850" s="453"/>
      <c r="K850" s="453"/>
      <c r="L850" s="454"/>
    </row>
    <row r="851" spans="2:12" x14ac:dyDescent="0.2">
      <c r="B851" s="324"/>
      <c r="C851" s="324"/>
      <c r="D851" s="788"/>
      <c r="E851" s="268"/>
      <c r="F851" s="790"/>
      <c r="G851" s="783"/>
      <c r="H851" s="784"/>
      <c r="I851" s="784"/>
      <c r="J851" s="784"/>
      <c r="K851" s="784"/>
      <c r="L851" s="785"/>
    </row>
    <row r="852" spans="2:12" x14ac:dyDescent="0.2">
      <c r="B852" s="324"/>
      <c r="C852" s="324"/>
      <c r="D852" s="789"/>
      <c r="E852" s="268"/>
      <c r="F852" s="791"/>
      <c r="G852" s="783"/>
      <c r="H852" s="784"/>
      <c r="I852" s="784"/>
      <c r="J852" s="784"/>
      <c r="K852" s="784"/>
      <c r="L852" s="785"/>
    </row>
    <row r="853" spans="2:12" x14ac:dyDescent="0.2">
      <c r="B853" s="792" t="s">
        <v>367</v>
      </c>
      <c r="C853" s="793"/>
      <c r="D853" s="793"/>
      <c r="E853" s="793"/>
      <c r="F853" s="793"/>
      <c r="G853" s="793"/>
      <c r="H853" s="793"/>
      <c r="I853" s="793"/>
      <c r="J853" s="793"/>
      <c r="K853" s="793"/>
      <c r="L853" s="794"/>
    </row>
    <row r="854" spans="2:12" ht="25.5" x14ac:dyDescent="0.2">
      <c r="B854" s="263" t="s">
        <v>368</v>
      </c>
      <c r="C854" s="795" t="s">
        <v>369</v>
      </c>
      <c r="D854" s="796"/>
      <c r="E854" s="797"/>
      <c r="F854" s="795" t="s">
        <v>370</v>
      </c>
      <c r="G854" s="796"/>
      <c r="H854" s="797"/>
      <c r="I854" s="795" t="s">
        <v>371</v>
      </c>
      <c r="J854" s="797"/>
      <c r="K854" s="241" t="s">
        <v>372</v>
      </c>
      <c r="L854" s="242" t="s">
        <v>373</v>
      </c>
    </row>
    <row r="855" spans="2:12" x14ac:dyDescent="0.2">
      <c r="B855" s="243" t="s">
        <v>374</v>
      </c>
      <c r="C855" s="798" t="s">
        <v>407</v>
      </c>
      <c r="D855" s="799"/>
      <c r="E855" s="800"/>
      <c r="F855" s="801"/>
      <c r="G855" s="802"/>
      <c r="H855" s="451"/>
      <c r="I855" s="801"/>
      <c r="J855" s="802"/>
      <c r="K855" s="266"/>
      <c r="L855" s="245"/>
    </row>
    <row r="856" spans="2:12" x14ac:dyDescent="0.2">
      <c r="B856" s="243" t="s">
        <v>375</v>
      </c>
      <c r="C856" s="798" t="s">
        <v>407</v>
      </c>
      <c r="D856" s="799"/>
      <c r="E856" s="800"/>
      <c r="F856" s="801"/>
      <c r="G856" s="802"/>
      <c r="H856" s="451"/>
      <c r="I856" s="801"/>
      <c r="J856" s="802"/>
      <c r="K856" s="266"/>
      <c r="L856" s="245"/>
    </row>
    <row r="857" spans="2:12" x14ac:dyDescent="0.2">
      <c r="B857" s="243" t="s">
        <v>376</v>
      </c>
      <c r="C857" s="798" t="s">
        <v>407</v>
      </c>
      <c r="D857" s="799"/>
      <c r="E857" s="800"/>
      <c r="F857" s="801"/>
      <c r="G857" s="802"/>
      <c r="H857" s="451"/>
      <c r="I857" s="801"/>
      <c r="J857" s="802"/>
      <c r="K857" s="266"/>
      <c r="L857" s="245"/>
    </row>
    <row r="858" spans="2:12" x14ac:dyDescent="0.2">
      <c r="B858" s="805" t="s">
        <v>377</v>
      </c>
      <c r="C858" s="806"/>
      <c r="D858" s="806"/>
      <c r="E858" s="806"/>
      <c r="F858" s="806"/>
      <c r="G858" s="806"/>
      <c r="H858" s="806"/>
      <c r="I858" s="806"/>
      <c r="J858" s="807"/>
      <c r="K858" s="814" t="s">
        <v>378</v>
      </c>
      <c r="L858" s="815"/>
    </row>
    <row r="859" spans="2:12" x14ac:dyDescent="0.2">
      <c r="B859" s="808"/>
      <c r="C859" s="809"/>
      <c r="D859" s="809"/>
      <c r="E859" s="809"/>
      <c r="F859" s="809"/>
      <c r="G859" s="809"/>
      <c r="H859" s="809"/>
      <c r="I859" s="809"/>
      <c r="J859" s="810"/>
      <c r="K859" s="246" t="s">
        <v>379</v>
      </c>
      <c r="L859" s="245"/>
    </row>
    <row r="860" spans="2:12" x14ac:dyDescent="0.2">
      <c r="B860" s="808"/>
      <c r="C860" s="809"/>
      <c r="D860" s="809"/>
      <c r="E860" s="809"/>
      <c r="F860" s="809"/>
      <c r="G860" s="809"/>
      <c r="H860" s="809"/>
      <c r="I860" s="809"/>
      <c r="J860" s="810"/>
      <c r="K860" s="246" t="s">
        <v>380</v>
      </c>
      <c r="L860" s="245"/>
    </row>
    <row r="861" spans="2:12" ht="13.5" thickBot="1" x14ac:dyDescent="0.25">
      <c r="B861" s="811"/>
      <c r="C861" s="812"/>
      <c r="D861" s="812"/>
      <c r="E861" s="812"/>
      <c r="F861" s="812"/>
      <c r="G861" s="812"/>
      <c r="H861" s="812"/>
      <c r="I861" s="812"/>
      <c r="J861" s="813"/>
      <c r="K861" s="247" t="s">
        <v>381</v>
      </c>
      <c r="L861" s="248"/>
    </row>
    <row r="862" spans="2:12" x14ac:dyDescent="0.2">
      <c r="B862" s="362"/>
      <c r="C862" s="360"/>
      <c r="D862" s="360"/>
      <c r="E862" s="360"/>
      <c r="F862" s="360"/>
      <c r="G862" s="360"/>
      <c r="H862" s="360"/>
      <c r="I862" s="360"/>
      <c r="J862" s="360"/>
      <c r="K862" s="361"/>
      <c r="L862" s="445"/>
    </row>
    <row r="863" spans="2:12" x14ac:dyDescent="0.2">
      <c r="B863" s="364"/>
      <c r="C863" s="365"/>
      <c r="D863" s="365"/>
      <c r="E863" s="365"/>
      <c r="F863" s="365"/>
      <c r="G863" s="365"/>
      <c r="H863" s="365"/>
      <c r="I863" s="365"/>
      <c r="J863" s="365"/>
      <c r="K863" s="365"/>
      <c r="L863" s="366"/>
    </row>
    <row r="864" spans="2:12" x14ac:dyDescent="0.2">
      <c r="B864" s="758" t="s">
        <v>382</v>
      </c>
      <c r="C864" s="759"/>
      <c r="D864" s="759"/>
      <c r="E864" s="759"/>
      <c r="F864" s="759"/>
      <c r="G864" s="759"/>
      <c r="H864" s="759"/>
      <c r="I864" s="759"/>
      <c r="J864" s="759"/>
      <c r="K864" s="759"/>
      <c r="L864" s="760"/>
    </row>
    <row r="865" spans="2:12" x14ac:dyDescent="0.2">
      <c r="B865" s="300">
        <v>1</v>
      </c>
      <c r="C865" s="745" t="s">
        <v>522</v>
      </c>
      <c r="D865" s="746"/>
      <c r="E865" s="746"/>
      <c r="F865" s="746"/>
      <c r="G865" s="746"/>
      <c r="H865" s="746"/>
      <c r="I865" s="746"/>
      <c r="J865" s="746"/>
      <c r="K865" s="746"/>
      <c r="L865" s="747"/>
    </row>
    <row r="866" spans="2:12" x14ac:dyDescent="0.2">
      <c r="B866" s="427">
        <v>2</v>
      </c>
      <c r="C866" s="748" t="s">
        <v>521</v>
      </c>
      <c r="D866" s="749"/>
      <c r="E866" s="749"/>
      <c r="F866" s="749"/>
      <c r="G866" s="749"/>
      <c r="H866" s="749"/>
      <c r="I866" s="749"/>
      <c r="J866" s="749"/>
      <c r="K866" s="749"/>
      <c r="L866" s="750"/>
    </row>
    <row r="867" spans="2:12" x14ac:dyDescent="0.2">
      <c r="B867" s="429">
        <v>3</v>
      </c>
      <c r="C867" s="748" t="s">
        <v>520</v>
      </c>
      <c r="D867" s="749"/>
      <c r="E867" s="749"/>
      <c r="F867" s="749"/>
      <c r="G867" s="749"/>
      <c r="H867" s="749"/>
      <c r="I867" s="749"/>
      <c r="J867" s="749"/>
      <c r="K867" s="749"/>
      <c r="L867" s="750"/>
    </row>
    <row r="868" spans="2:12" x14ac:dyDescent="0.2">
      <c r="B868" s="356">
        <v>4</v>
      </c>
      <c r="C868" s="748" t="s">
        <v>523</v>
      </c>
      <c r="D868" s="749"/>
      <c r="E868" s="749"/>
      <c r="F868" s="749"/>
      <c r="G868" s="749"/>
      <c r="H868" s="749"/>
      <c r="I868" s="749"/>
      <c r="J868" s="749"/>
      <c r="K868" s="749"/>
      <c r="L868" s="750"/>
    </row>
    <row r="869" spans="2:12" x14ac:dyDescent="0.2">
      <c r="B869" s="470">
        <v>5</v>
      </c>
      <c r="C869" s="748" t="s">
        <v>524</v>
      </c>
      <c r="D869" s="749"/>
      <c r="E869" s="749"/>
      <c r="F869" s="749"/>
      <c r="G869" s="749"/>
      <c r="H869" s="749"/>
      <c r="I869" s="749"/>
      <c r="J869" s="749"/>
      <c r="K869" s="749"/>
      <c r="L869" s="750"/>
    </row>
    <row r="870" spans="2:12" x14ac:dyDescent="0.2">
      <c r="B870" s="300">
        <v>6</v>
      </c>
      <c r="C870" s="748" t="s">
        <v>525</v>
      </c>
      <c r="D870" s="749"/>
      <c r="E870" s="749"/>
      <c r="F870" s="749"/>
      <c r="G870" s="749"/>
      <c r="H870" s="749"/>
      <c r="I870" s="749"/>
      <c r="J870" s="749"/>
      <c r="K870" s="749"/>
      <c r="L870" s="750"/>
    </row>
    <row r="871" spans="2:12" x14ac:dyDescent="0.2">
      <c r="B871" s="758" t="s">
        <v>386</v>
      </c>
      <c r="C871" s="759"/>
      <c r="D871" s="759"/>
      <c r="E871" s="759"/>
      <c r="F871" s="759"/>
      <c r="G871" s="759"/>
      <c r="H871" s="759"/>
      <c r="I871" s="759"/>
      <c r="J871" s="759"/>
      <c r="K871" s="759"/>
      <c r="L871" s="760"/>
    </row>
    <row r="872" spans="2:12" x14ac:dyDescent="0.2">
      <c r="B872" s="269"/>
      <c r="C872" s="757"/>
      <c r="D872" s="746"/>
      <c r="E872" s="746"/>
      <c r="F872" s="746"/>
      <c r="G872" s="746"/>
      <c r="H872" s="746"/>
      <c r="I872" s="746"/>
      <c r="J872" s="746"/>
      <c r="K872" s="746"/>
      <c r="L872" s="747"/>
    </row>
    <row r="873" spans="2:12" x14ac:dyDescent="0.2">
      <c r="B873" s="269"/>
      <c r="C873" s="757"/>
      <c r="D873" s="746"/>
      <c r="E873" s="746"/>
      <c r="F873" s="746"/>
      <c r="G873" s="746"/>
      <c r="H873" s="746"/>
      <c r="I873" s="746"/>
      <c r="J873" s="746"/>
      <c r="K873" s="746"/>
      <c r="L873" s="747"/>
    </row>
    <row r="874" spans="2:12" x14ac:dyDescent="0.2">
      <c r="B874" s="269"/>
      <c r="C874" s="757"/>
      <c r="D874" s="746"/>
      <c r="E874" s="746"/>
      <c r="F874" s="746"/>
      <c r="G874" s="746"/>
      <c r="H874" s="746"/>
      <c r="I874" s="746"/>
      <c r="J874" s="746"/>
      <c r="K874" s="746"/>
      <c r="L874" s="747"/>
    </row>
    <row r="875" spans="2:12" x14ac:dyDescent="0.2">
      <c r="B875" s="758" t="s">
        <v>387</v>
      </c>
      <c r="C875" s="759"/>
      <c r="D875" s="759"/>
      <c r="E875" s="759"/>
      <c r="F875" s="759"/>
      <c r="G875" s="759"/>
      <c r="H875" s="759"/>
      <c r="I875" s="759"/>
      <c r="J875" s="759"/>
      <c r="K875" s="759"/>
      <c r="L875" s="760"/>
    </row>
    <row r="876" spans="2:12" x14ac:dyDescent="0.2">
      <c r="B876" s="269"/>
      <c r="C876" s="745"/>
      <c r="D876" s="746"/>
      <c r="E876" s="746"/>
      <c r="F876" s="746"/>
      <c r="G876" s="746"/>
      <c r="H876" s="746"/>
      <c r="I876" s="746"/>
      <c r="J876" s="746"/>
      <c r="K876" s="746"/>
      <c r="L876" s="747"/>
    </row>
    <row r="877" spans="2:12" x14ac:dyDescent="0.2">
      <c r="B877" s="269"/>
      <c r="C877" s="745"/>
      <c r="D877" s="746"/>
      <c r="E877" s="746"/>
      <c r="F877" s="746"/>
      <c r="G877" s="746"/>
      <c r="H877" s="746"/>
      <c r="I877" s="746"/>
      <c r="J877" s="746"/>
      <c r="K877" s="746"/>
      <c r="L877" s="747"/>
    </row>
    <row r="878" spans="2:12" x14ac:dyDescent="0.2">
      <c r="B878" s="269"/>
      <c r="C878" s="745"/>
      <c r="D878" s="746"/>
      <c r="E878" s="746"/>
      <c r="F878" s="746"/>
      <c r="G878" s="746"/>
      <c r="H878" s="746"/>
      <c r="I878" s="746"/>
      <c r="J878" s="746"/>
      <c r="K878" s="746"/>
      <c r="L878" s="747"/>
    </row>
    <row r="879" spans="2:12" x14ac:dyDescent="0.2">
      <c r="B879" s="269"/>
      <c r="C879" s="754"/>
      <c r="D879" s="755"/>
      <c r="E879" s="755"/>
      <c r="F879" s="755"/>
      <c r="G879" s="755"/>
      <c r="H879" s="755"/>
      <c r="I879" s="755"/>
      <c r="J879" s="755"/>
      <c r="K879" s="755"/>
      <c r="L879" s="756"/>
    </row>
    <row r="880" spans="2:12" x14ac:dyDescent="0.2">
      <c r="B880" s="269"/>
      <c r="C880" s="745"/>
      <c r="D880" s="746"/>
      <c r="E880" s="746"/>
      <c r="F880" s="746"/>
      <c r="G880" s="746"/>
      <c r="H880" s="746"/>
      <c r="I880" s="746"/>
      <c r="J880" s="746"/>
      <c r="K880" s="746"/>
      <c r="L880" s="747"/>
    </row>
    <row r="881" spans="2:12" x14ac:dyDescent="0.2">
      <c r="B881" s="761" t="s">
        <v>383</v>
      </c>
      <c r="C881" s="762"/>
      <c r="D881" s="762"/>
      <c r="E881" s="762"/>
      <c r="F881" s="762"/>
      <c r="G881" s="762"/>
      <c r="H881" s="762"/>
      <c r="I881" s="762"/>
      <c r="J881" s="762"/>
      <c r="K881" s="762"/>
      <c r="L881" s="763"/>
    </row>
    <row r="882" spans="2:12" x14ac:dyDescent="0.2">
      <c r="B882" s="764" t="s">
        <v>446</v>
      </c>
      <c r="C882" s="746"/>
      <c r="D882" s="746"/>
      <c r="E882" s="746"/>
      <c r="F882" s="746"/>
      <c r="G882" s="746"/>
      <c r="H882" s="746"/>
      <c r="I882" s="746"/>
      <c r="J882" s="746"/>
      <c r="K882" s="746"/>
      <c r="L882" s="747"/>
    </row>
    <row r="883" spans="2:12" x14ac:dyDescent="0.2">
      <c r="B883" s="764"/>
      <c r="C883" s="746"/>
      <c r="D883" s="746"/>
      <c r="E883" s="746"/>
      <c r="F883" s="746"/>
      <c r="G883" s="746"/>
      <c r="H883" s="746"/>
      <c r="I883" s="746"/>
      <c r="J883" s="746"/>
      <c r="K883" s="746"/>
      <c r="L883" s="747"/>
    </row>
    <row r="884" spans="2:12" x14ac:dyDescent="0.2">
      <c r="B884" s="764"/>
      <c r="C884" s="746"/>
      <c r="D884" s="746"/>
      <c r="E884" s="746"/>
      <c r="F884" s="746"/>
      <c r="G884" s="746"/>
      <c r="H884" s="746"/>
      <c r="I884" s="746"/>
      <c r="J884" s="746"/>
      <c r="K884" s="746"/>
      <c r="L884" s="747"/>
    </row>
    <row r="885" spans="2:12" x14ac:dyDescent="0.2">
      <c r="B885" s="764"/>
      <c r="C885" s="746"/>
      <c r="D885" s="746"/>
      <c r="E885" s="746"/>
      <c r="F885" s="746"/>
      <c r="G885" s="746"/>
      <c r="H885" s="746"/>
      <c r="I885" s="746"/>
      <c r="J885" s="746"/>
      <c r="K885" s="746"/>
      <c r="L885" s="747"/>
    </row>
    <row r="886" spans="2:12" x14ac:dyDescent="0.2">
      <c r="B886" s="768"/>
      <c r="C886" s="769"/>
      <c r="D886" s="769"/>
      <c r="E886" s="769"/>
      <c r="F886" s="769"/>
      <c r="G886" s="447"/>
      <c r="H886" s="769"/>
      <c r="I886" s="769"/>
      <c r="J886" s="769"/>
      <c r="K886" s="769"/>
      <c r="L886" s="774"/>
    </row>
    <row r="887" spans="2:12" x14ac:dyDescent="0.2">
      <c r="B887" s="770"/>
      <c r="C887" s="771"/>
      <c r="D887" s="771"/>
      <c r="E887" s="771"/>
      <c r="F887" s="771"/>
      <c r="G887" s="448"/>
      <c r="H887" s="771"/>
      <c r="I887" s="771"/>
      <c r="J887" s="771"/>
      <c r="K887" s="771"/>
      <c r="L887" s="775"/>
    </row>
    <row r="888" spans="2:12" x14ac:dyDescent="0.2">
      <c r="B888" s="770"/>
      <c r="C888" s="771"/>
      <c r="D888" s="771"/>
      <c r="E888" s="771"/>
      <c r="F888" s="771"/>
      <c r="G888" s="448"/>
      <c r="H888" s="771"/>
      <c r="I888" s="771"/>
      <c r="J888" s="771"/>
      <c r="K888" s="771"/>
      <c r="L888" s="775"/>
    </row>
    <row r="889" spans="2:12" x14ac:dyDescent="0.2">
      <c r="B889" s="772"/>
      <c r="C889" s="773"/>
      <c r="D889" s="773"/>
      <c r="E889" s="773"/>
      <c r="F889" s="773"/>
      <c r="G889" s="449"/>
      <c r="H889" s="773"/>
      <c r="I889" s="773"/>
      <c r="J889" s="773"/>
      <c r="K889" s="773"/>
      <c r="L889" s="776"/>
    </row>
    <row r="890" spans="2:12" ht="13.5" thickBot="1" x14ac:dyDescent="0.25">
      <c r="B890" s="751" t="s">
        <v>384</v>
      </c>
      <c r="C890" s="752"/>
      <c r="D890" s="752"/>
      <c r="E890" s="752"/>
      <c r="F890" s="752"/>
      <c r="G890" s="450"/>
      <c r="H890" s="752" t="s">
        <v>385</v>
      </c>
      <c r="I890" s="752"/>
      <c r="J890" s="752"/>
      <c r="K890" s="752"/>
      <c r="L890" s="753"/>
    </row>
    <row r="892" spans="2:12" ht="13.5" thickBot="1" x14ac:dyDescent="0.25"/>
    <row r="893" spans="2:12" ht="23.25" x14ac:dyDescent="0.2">
      <c r="B893" s="862" t="s">
        <v>336</v>
      </c>
      <c r="C893" s="863"/>
      <c r="D893" s="863"/>
      <c r="E893" s="863"/>
      <c r="F893" s="863"/>
      <c r="G893" s="863"/>
      <c r="H893" s="863"/>
      <c r="I893" s="863"/>
      <c r="J893" s="863"/>
      <c r="K893" s="863"/>
      <c r="L893" s="864"/>
    </row>
    <row r="894" spans="2:12" ht="20.25" x14ac:dyDescent="0.2">
      <c r="B894" s="20"/>
      <c r="C894" s="21"/>
      <c r="D894" s="210"/>
      <c r="E894" s="210"/>
      <c r="F894" s="210"/>
      <c r="G894" s="210"/>
      <c r="H894" s="210"/>
      <c r="I894" s="210"/>
      <c r="J894" s="210"/>
      <c r="K894" s="211" t="str">
        <f>("DATA ATUAL:"&amp;"    "&amp;UPPER(LEFT(TEXT(L894,"DDDD"),7)))</f>
        <v>DATA ATUAL:    SÁBADO</v>
      </c>
      <c r="L894" s="253">
        <v>44681</v>
      </c>
    </row>
    <row r="895" spans="2:12" ht="20.25" x14ac:dyDescent="0.2">
      <c r="B895" s="20"/>
      <c r="C895" s="21"/>
      <c r="D895" s="212"/>
      <c r="E895" s="212"/>
      <c r="F895" s="212"/>
      <c r="G895" s="212"/>
      <c r="H895" s="212"/>
      <c r="I895" s="212"/>
      <c r="J895" s="212"/>
      <c r="K895" s="211" t="s">
        <v>337</v>
      </c>
      <c r="L895" s="359">
        <v>11</v>
      </c>
    </row>
    <row r="896" spans="2:12" ht="20.25" x14ac:dyDescent="0.2">
      <c r="B896" s="20"/>
      <c r="C896" s="21"/>
      <c r="D896" s="865" t="s">
        <v>338</v>
      </c>
      <c r="E896" s="865"/>
      <c r="F896" s="865"/>
      <c r="G896" s="865"/>
      <c r="H896" s="865"/>
      <c r="I896" s="865"/>
      <c r="J896" s="212"/>
      <c r="K896" s="211" t="s">
        <v>339</v>
      </c>
      <c r="L896" s="255">
        <f>IFERROR(IF(AND(L901&gt;0,L900&gt;0),L901-L900,0),"")</f>
        <v>31</v>
      </c>
    </row>
    <row r="897" spans="2:12" x14ac:dyDescent="0.2">
      <c r="B897" s="20"/>
      <c r="C897" s="21"/>
      <c r="D897" s="866" t="s">
        <v>340</v>
      </c>
      <c r="E897" s="866"/>
      <c r="F897" s="866"/>
      <c r="G897" s="866"/>
      <c r="H897" s="866"/>
      <c r="I897" s="866"/>
      <c r="J897" s="213"/>
      <c r="K897" s="211" t="s">
        <v>341</v>
      </c>
      <c r="L897" s="255">
        <f>IF(OR(AND(K945&lt;&gt;"",K946&lt;&gt;"",K947&lt;&gt;""),AND(D941&lt;&gt;"",F941&lt;&gt;"")),IF(L900&gt;0,NETWORKDAYS.INTL(L900,L894,11),0),IF(L900&gt;0,NETWORKDAYS.INTL(L900,L894,11),0))</f>
        <v>11</v>
      </c>
    </row>
    <row r="898" spans="2:12" x14ac:dyDescent="0.2">
      <c r="B898" s="20"/>
      <c r="C898" s="21"/>
      <c r="D898" s="867" t="s">
        <v>342</v>
      </c>
      <c r="E898" s="867"/>
      <c r="F898" s="867"/>
      <c r="G898" s="867"/>
      <c r="H898" s="867"/>
      <c r="I898" s="867"/>
      <c r="J898" s="214"/>
      <c r="K898" s="211" t="s">
        <v>343</v>
      </c>
      <c r="L898" s="255">
        <f>IFERROR(L896-L897,"")</f>
        <v>20</v>
      </c>
    </row>
    <row r="899" spans="2:12" x14ac:dyDescent="0.2">
      <c r="B899" s="758" t="s">
        <v>344</v>
      </c>
      <c r="C899" s="759"/>
      <c r="D899" s="759"/>
      <c r="E899" s="759"/>
      <c r="F899" s="759"/>
      <c r="G899" s="759"/>
      <c r="H899" s="759"/>
      <c r="I899" s="759"/>
      <c r="J899" s="759"/>
      <c r="K899" s="759"/>
      <c r="L899" s="760"/>
    </row>
    <row r="900" spans="2:12" x14ac:dyDescent="0.2">
      <c r="B900" s="868" t="s">
        <v>345</v>
      </c>
      <c r="C900" s="852"/>
      <c r="D900" s="852" t="s">
        <v>404</v>
      </c>
      <c r="E900" s="852"/>
      <c r="F900" s="852"/>
      <c r="G900" s="852"/>
      <c r="H900" s="852"/>
      <c r="I900" s="852"/>
      <c r="J900" s="852"/>
      <c r="K900" s="216" t="s">
        <v>346</v>
      </c>
      <c r="L900" s="217">
        <v>44670</v>
      </c>
    </row>
    <row r="901" spans="2:12" x14ac:dyDescent="0.2">
      <c r="B901" s="458" t="s">
        <v>347</v>
      </c>
      <c r="C901" s="852"/>
      <c r="D901" s="852"/>
      <c r="E901" s="852"/>
      <c r="F901" s="852"/>
      <c r="G901" s="852"/>
      <c r="H901" s="852"/>
      <c r="I901" s="852"/>
      <c r="J901" s="852"/>
      <c r="K901" s="216" t="s">
        <v>348</v>
      </c>
      <c r="L901" s="217">
        <v>44701</v>
      </c>
    </row>
    <row r="902" spans="2:12" x14ac:dyDescent="0.2">
      <c r="B902" s="868" t="s">
        <v>349</v>
      </c>
      <c r="C902" s="852"/>
      <c r="D902" s="852" t="s">
        <v>405</v>
      </c>
      <c r="E902" s="852"/>
      <c r="F902" s="852"/>
      <c r="G902" s="852"/>
      <c r="H902" s="852"/>
      <c r="I902" s="852"/>
      <c r="J902" s="852"/>
      <c r="K902" s="852"/>
      <c r="L902" s="853"/>
    </row>
    <row r="903" spans="2:12" x14ac:dyDescent="0.2">
      <c r="B903" s="868" t="s">
        <v>350</v>
      </c>
      <c r="C903" s="869"/>
      <c r="D903" s="869"/>
      <c r="E903" s="852" t="s">
        <v>402</v>
      </c>
      <c r="F903" s="852"/>
      <c r="G903" s="852"/>
      <c r="H903" s="852"/>
      <c r="I903" s="852"/>
      <c r="J903" s="852"/>
      <c r="K903" s="852"/>
      <c r="L903" s="853"/>
    </row>
    <row r="904" spans="2:12" x14ac:dyDescent="0.2">
      <c r="B904" s="458" t="s">
        <v>351</v>
      </c>
      <c r="C904" s="459"/>
      <c r="D904" s="870"/>
      <c r="E904" s="870"/>
      <c r="F904" s="870"/>
      <c r="G904" s="870"/>
      <c r="H904" s="870"/>
      <c r="I904" s="870"/>
      <c r="J904" s="870"/>
      <c r="K904" s="870"/>
      <c r="L904" s="871"/>
    </row>
    <row r="905" spans="2:12" x14ac:dyDescent="0.2">
      <c r="B905" s="758" t="s">
        <v>352</v>
      </c>
      <c r="C905" s="759"/>
      <c r="D905" s="759"/>
      <c r="E905" s="759"/>
      <c r="F905" s="759"/>
      <c r="G905" s="759"/>
      <c r="H905" s="759"/>
      <c r="I905" s="759"/>
      <c r="J905" s="759"/>
      <c r="K905" s="759"/>
      <c r="L905" s="760"/>
    </row>
    <row r="906" spans="2:12" x14ac:dyDescent="0.2">
      <c r="B906" s="868" t="s">
        <v>353</v>
      </c>
      <c r="C906" s="869"/>
      <c r="D906" s="869"/>
      <c r="E906" s="852"/>
      <c r="F906" s="852"/>
      <c r="G906" s="852"/>
      <c r="H906" s="852"/>
      <c r="I906" s="852"/>
      <c r="J906" s="852"/>
      <c r="K906" s="852"/>
      <c r="L906" s="853"/>
    </row>
    <row r="907" spans="2:12" x14ac:dyDescent="0.2">
      <c r="B907" s="219" t="s">
        <v>321</v>
      </c>
      <c r="C907" s="852"/>
      <c r="D907" s="852"/>
      <c r="E907" s="852"/>
      <c r="F907" s="852"/>
      <c r="G907" s="852"/>
      <c r="H907" s="852"/>
      <c r="I907" s="852"/>
      <c r="J907" s="852"/>
      <c r="K907" s="852"/>
      <c r="L907" s="853"/>
    </row>
    <row r="908" spans="2:12" x14ac:dyDescent="0.2">
      <c r="B908" s="219" t="s">
        <v>351</v>
      </c>
      <c r="C908" s="852"/>
      <c r="D908" s="852"/>
      <c r="E908" s="852"/>
      <c r="F908" s="852"/>
      <c r="G908" s="852"/>
      <c r="H908" s="852"/>
      <c r="I908" s="852"/>
      <c r="J908" s="852"/>
      <c r="K908" s="852"/>
      <c r="L908" s="853"/>
    </row>
    <row r="909" spans="2:12" x14ac:dyDescent="0.2">
      <c r="B909" s="219" t="s">
        <v>354</v>
      </c>
      <c r="C909" s="852"/>
      <c r="D909" s="852"/>
      <c r="E909" s="852"/>
      <c r="F909" s="852"/>
      <c r="G909" s="852"/>
      <c r="H909" s="852"/>
      <c r="I909" s="852"/>
      <c r="J909" s="852"/>
      <c r="K909" s="852"/>
      <c r="L909" s="853"/>
    </row>
    <row r="910" spans="2:12" x14ac:dyDescent="0.2">
      <c r="B910" s="758" t="s">
        <v>355</v>
      </c>
      <c r="C910" s="759"/>
      <c r="D910" s="759"/>
      <c r="E910" s="759"/>
      <c r="F910" s="759"/>
      <c r="G910" s="759"/>
      <c r="H910" s="759"/>
      <c r="I910" s="759"/>
      <c r="J910" s="759"/>
      <c r="K910" s="759"/>
      <c r="L910" s="760"/>
    </row>
    <row r="911" spans="2:12" x14ac:dyDescent="0.2">
      <c r="B911" s="803" t="s">
        <v>356</v>
      </c>
      <c r="C911" s="782"/>
      <c r="D911" s="782"/>
      <c r="E911" s="782"/>
      <c r="F911" s="782"/>
      <c r="G911" s="782"/>
      <c r="H911" s="782"/>
      <c r="I911" s="782"/>
      <c r="J911" s="782"/>
      <c r="K911" s="782"/>
      <c r="L911" s="804"/>
    </row>
    <row r="912" spans="2:12" x14ac:dyDescent="0.2">
      <c r="B912" s="854" t="s">
        <v>357</v>
      </c>
      <c r="C912" s="824"/>
      <c r="D912" s="825"/>
      <c r="E912" s="840" t="s">
        <v>358</v>
      </c>
      <c r="F912" s="841"/>
      <c r="G912" s="841"/>
      <c r="H912" s="841"/>
      <c r="I912" s="841"/>
      <c r="J912" s="841"/>
      <c r="K912" s="842"/>
      <c r="L912" s="855" t="s">
        <v>359</v>
      </c>
    </row>
    <row r="913" spans="2:12" x14ac:dyDescent="0.2">
      <c r="B913" s="854"/>
      <c r="C913" s="824"/>
      <c r="D913" s="825"/>
      <c r="E913" s="843"/>
      <c r="F913" s="844"/>
      <c r="G913" s="844"/>
      <c r="H913" s="844"/>
      <c r="I913" s="844"/>
      <c r="J913" s="844"/>
      <c r="K913" s="845"/>
      <c r="L913" s="856"/>
    </row>
    <row r="914" spans="2:12" x14ac:dyDescent="0.2">
      <c r="B914" s="857" t="s">
        <v>400</v>
      </c>
      <c r="C914" s="746"/>
      <c r="D914" s="858"/>
      <c r="E914" s="748" t="s">
        <v>412</v>
      </c>
      <c r="F914" s="859"/>
      <c r="G914" s="859"/>
      <c r="H914" s="859"/>
      <c r="I914" s="859"/>
      <c r="J914" s="859"/>
      <c r="K914" s="858"/>
      <c r="L914" s="220">
        <v>2</v>
      </c>
    </row>
    <row r="915" spans="2:12" x14ac:dyDescent="0.2">
      <c r="B915" s="764" t="s">
        <v>416</v>
      </c>
      <c r="C915" s="746"/>
      <c r="D915" s="858"/>
      <c r="E915" s="860" t="s">
        <v>417</v>
      </c>
      <c r="F915" s="859"/>
      <c r="G915" s="859"/>
      <c r="H915" s="859"/>
      <c r="I915" s="859"/>
      <c r="J915" s="859"/>
      <c r="K915" s="858"/>
      <c r="L915" s="220">
        <v>1</v>
      </c>
    </row>
    <row r="916" spans="2:12" x14ac:dyDescent="0.2">
      <c r="B916" s="764" t="s">
        <v>411</v>
      </c>
      <c r="C916" s="859"/>
      <c r="D916" s="858"/>
      <c r="E916" s="860" t="s">
        <v>413</v>
      </c>
      <c r="F916" s="859"/>
      <c r="G916" s="859"/>
      <c r="H916" s="859"/>
      <c r="I916" s="859"/>
      <c r="J916" s="859"/>
      <c r="K916" s="858"/>
      <c r="L916" s="221">
        <v>1</v>
      </c>
    </row>
    <row r="917" spans="2:12" x14ac:dyDescent="0.2">
      <c r="B917" s="764"/>
      <c r="C917" s="859"/>
      <c r="D917" s="858"/>
      <c r="E917" s="860"/>
      <c r="F917" s="859"/>
      <c r="G917" s="859"/>
      <c r="H917" s="859"/>
      <c r="I917" s="859"/>
      <c r="J917" s="859"/>
      <c r="K917" s="858"/>
      <c r="L917" s="221"/>
    </row>
    <row r="918" spans="2:12" x14ac:dyDescent="0.2">
      <c r="B918" s="777" t="s">
        <v>360</v>
      </c>
      <c r="C918" s="861"/>
      <c r="D918" s="861"/>
      <c r="E918" s="861"/>
      <c r="F918" s="861"/>
      <c r="G918" s="861"/>
      <c r="H918" s="861"/>
      <c r="I918" s="861"/>
      <c r="J918" s="861"/>
      <c r="K918" s="779"/>
      <c r="L918" s="224">
        <f>SUM(L914:L917)</f>
        <v>4</v>
      </c>
    </row>
    <row r="919" spans="2:12" x14ac:dyDescent="0.2">
      <c r="B919" s="803" t="s">
        <v>361</v>
      </c>
      <c r="C919" s="782"/>
      <c r="D919" s="782"/>
      <c r="E919" s="782"/>
      <c r="F919" s="782"/>
      <c r="G919" s="782"/>
      <c r="H919" s="782"/>
      <c r="I919" s="782"/>
      <c r="J919" s="782"/>
      <c r="K919" s="782"/>
      <c r="L919" s="804"/>
    </row>
    <row r="920" spans="2:12" x14ac:dyDescent="0.2">
      <c r="B920" s="834" t="s">
        <v>362</v>
      </c>
      <c r="C920" s="840" t="s">
        <v>357</v>
      </c>
      <c r="D920" s="842"/>
      <c r="E920" s="840" t="s">
        <v>358</v>
      </c>
      <c r="F920" s="841"/>
      <c r="G920" s="841"/>
      <c r="H920" s="841"/>
      <c r="I920" s="841"/>
      <c r="J920" s="841"/>
      <c r="K920" s="842"/>
      <c r="L920" s="816" t="s">
        <v>359</v>
      </c>
    </row>
    <row r="921" spans="2:12" x14ac:dyDescent="0.2">
      <c r="B921" s="835"/>
      <c r="C921" s="843"/>
      <c r="D921" s="845"/>
      <c r="E921" s="843"/>
      <c r="F921" s="844"/>
      <c r="G921" s="844"/>
      <c r="H921" s="844"/>
      <c r="I921" s="844"/>
      <c r="J921" s="844"/>
      <c r="K921" s="845"/>
      <c r="L921" s="817"/>
    </row>
    <row r="922" spans="2:12" x14ac:dyDescent="0.2">
      <c r="B922" s="456"/>
      <c r="C922" s="818"/>
      <c r="D922" s="819"/>
      <c r="E922" s="820"/>
      <c r="F922" s="821"/>
      <c r="G922" s="821"/>
      <c r="H922" s="821"/>
      <c r="I922" s="821"/>
      <c r="J922" s="821"/>
      <c r="K922" s="822"/>
      <c r="L922" s="457"/>
    </row>
    <row r="923" spans="2:12" x14ac:dyDescent="0.2">
      <c r="B923" s="456"/>
      <c r="C923" s="818"/>
      <c r="D923" s="819"/>
      <c r="E923" s="820"/>
      <c r="F923" s="821"/>
      <c r="G923" s="821"/>
      <c r="H923" s="821"/>
      <c r="I923" s="821"/>
      <c r="J923" s="821"/>
      <c r="K923" s="822"/>
      <c r="L923" s="457"/>
    </row>
    <row r="924" spans="2:12" x14ac:dyDescent="0.2">
      <c r="B924" s="456"/>
      <c r="C924" s="818"/>
      <c r="D924" s="819"/>
      <c r="E924" s="823"/>
      <c r="F924" s="824"/>
      <c r="G924" s="824"/>
      <c r="H924" s="824"/>
      <c r="I924" s="824"/>
      <c r="J924" s="824"/>
      <c r="K924" s="825"/>
      <c r="L924" s="457"/>
    </row>
    <row r="925" spans="2:12" x14ac:dyDescent="0.2">
      <c r="B925" s="456"/>
      <c r="C925" s="818"/>
      <c r="D925" s="819"/>
      <c r="E925" s="823"/>
      <c r="F925" s="824"/>
      <c r="G925" s="824"/>
      <c r="H925" s="824"/>
      <c r="I925" s="824"/>
      <c r="J925" s="824"/>
      <c r="K925" s="825"/>
      <c r="L925" s="457"/>
    </row>
    <row r="926" spans="2:12" x14ac:dyDescent="0.2">
      <c r="B926" s="456"/>
      <c r="C926" s="818"/>
      <c r="D926" s="819"/>
      <c r="E926" s="823"/>
      <c r="F926" s="824"/>
      <c r="G926" s="824"/>
      <c r="H926" s="824"/>
      <c r="I926" s="824"/>
      <c r="J926" s="824"/>
      <c r="K926" s="825"/>
      <c r="L926" s="457"/>
    </row>
    <row r="927" spans="2:12" x14ac:dyDescent="0.2">
      <c r="B927" s="826" t="s">
        <v>360</v>
      </c>
      <c r="C927" s="827"/>
      <c r="D927" s="827"/>
      <c r="E927" s="827"/>
      <c r="F927" s="827"/>
      <c r="G927" s="827"/>
      <c r="H927" s="827"/>
      <c r="I927" s="827"/>
      <c r="J927" s="827"/>
      <c r="K927" s="828"/>
      <c r="L927" s="227">
        <f>SUM(L922:L926)</f>
        <v>0</v>
      </c>
    </row>
    <row r="928" spans="2:12" x14ac:dyDescent="0.2">
      <c r="B928" s="829" t="s">
        <v>406</v>
      </c>
      <c r="C928" s="830"/>
      <c r="D928" s="830"/>
      <c r="E928" s="830"/>
      <c r="F928" s="830"/>
      <c r="G928" s="830"/>
      <c r="H928" s="830"/>
      <c r="I928" s="830"/>
      <c r="J928" s="830"/>
      <c r="K928" s="831"/>
      <c r="L928" s="228">
        <f>L927+L918</f>
        <v>4</v>
      </c>
    </row>
    <row r="929" spans="2:12" x14ac:dyDescent="0.2">
      <c r="B929" s="758" t="s">
        <v>215</v>
      </c>
      <c r="C929" s="759"/>
      <c r="D929" s="759"/>
      <c r="E929" s="759"/>
      <c r="F929" s="759"/>
      <c r="G929" s="759"/>
      <c r="H929" s="759"/>
      <c r="I929" s="759"/>
      <c r="J929" s="759"/>
      <c r="K929" s="759"/>
      <c r="L929" s="760"/>
    </row>
    <row r="930" spans="2:12" x14ac:dyDescent="0.2">
      <c r="B930" s="803" t="s">
        <v>363</v>
      </c>
      <c r="C930" s="782"/>
      <c r="D930" s="782"/>
      <c r="E930" s="782"/>
      <c r="F930" s="782"/>
      <c r="G930" s="782"/>
      <c r="H930" s="782"/>
      <c r="I930" s="782"/>
      <c r="J930" s="803" t="s">
        <v>364</v>
      </c>
      <c r="K930" s="782"/>
      <c r="L930" s="804"/>
    </row>
    <row r="931" spans="2:12" x14ac:dyDescent="0.2">
      <c r="B931" s="834" t="s">
        <v>362</v>
      </c>
      <c r="C931" s="836" t="s">
        <v>29</v>
      </c>
      <c r="D931" s="837"/>
      <c r="E931" s="840" t="s">
        <v>1</v>
      </c>
      <c r="F931" s="841"/>
      <c r="G931" s="841"/>
      <c r="H931" s="842"/>
      <c r="I931" s="846" t="s">
        <v>359</v>
      </c>
      <c r="J931" s="848" t="s">
        <v>29</v>
      </c>
      <c r="K931" s="850" t="s">
        <v>1</v>
      </c>
      <c r="L931" s="846" t="s">
        <v>365</v>
      </c>
    </row>
    <row r="932" spans="2:12" x14ac:dyDescent="0.2">
      <c r="B932" s="835"/>
      <c r="C932" s="838"/>
      <c r="D932" s="839"/>
      <c r="E932" s="843"/>
      <c r="F932" s="844"/>
      <c r="G932" s="844"/>
      <c r="H932" s="845"/>
      <c r="I932" s="847"/>
      <c r="J932" s="849"/>
      <c r="K932" s="851"/>
      <c r="L932" s="847"/>
    </row>
    <row r="933" spans="2:12" x14ac:dyDescent="0.2">
      <c r="B933" s="229"/>
      <c r="C933" s="832"/>
      <c r="D933" s="822"/>
      <c r="E933" s="832"/>
      <c r="F933" s="833"/>
      <c r="G933" s="833"/>
      <c r="H933" s="822"/>
      <c r="I933" s="231"/>
      <c r="J933" s="455"/>
      <c r="K933" s="446"/>
      <c r="L933" s="221"/>
    </row>
    <row r="934" spans="2:12" x14ac:dyDescent="0.2">
      <c r="B934" s="229"/>
      <c r="C934" s="832"/>
      <c r="D934" s="822"/>
      <c r="E934" s="832"/>
      <c r="F934" s="833"/>
      <c r="G934" s="833"/>
      <c r="H934" s="822"/>
      <c r="I934" s="234"/>
      <c r="J934" s="235"/>
      <c r="K934" s="236"/>
      <c r="L934" s="237"/>
    </row>
    <row r="935" spans="2:12" x14ac:dyDescent="0.2">
      <c r="B935" s="229"/>
      <c r="C935" s="832"/>
      <c r="D935" s="822"/>
      <c r="E935" s="832"/>
      <c r="F935" s="833"/>
      <c r="G935" s="833"/>
      <c r="H935" s="822"/>
      <c r="I935" s="239"/>
      <c r="J935" s="230"/>
      <c r="K935" s="238"/>
      <c r="L935" s="220"/>
    </row>
    <row r="936" spans="2:12" x14ac:dyDescent="0.2">
      <c r="B936" s="777" t="s">
        <v>366</v>
      </c>
      <c r="C936" s="778"/>
      <c r="D936" s="778"/>
      <c r="E936" s="778"/>
      <c r="F936" s="778"/>
      <c r="G936" s="778"/>
      <c r="H936" s="779"/>
      <c r="I936" s="252">
        <f>SUM(I933:I935)</f>
        <v>0</v>
      </c>
      <c r="J936" s="780" t="s">
        <v>366</v>
      </c>
      <c r="K936" s="781"/>
      <c r="L936" s="240">
        <f>SUM(L933:L935)</f>
        <v>0</v>
      </c>
    </row>
    <row r="937" spans="2:12" x14ac:dyDescent="0.2">
      <c r="B937" s="777" t="s">
        <v>27</v>
      </c>
      <c r="C937" s="778"/>
      <c r="D937" s="778"/>
      <c r="E937" s="778"/>
      <c r="F937" s="778"/>
      <c r="G937" s="778"/>
      <c r="H937" s="778"/>
      <c r="I937" s="778"/>
      <c r="J937" s="778"/>
      <c r="K937" s="779"/>
      <c r="L937" s="240">
        <f>L936+I936</f>
        <v>0</v>
      </c>
    </row>
    <row r="938" spans="2:12" x14ac:dyDescent="0.2">
      <c r="B938" s="758" t="s">
        <v>388</v>
      </c>
      <c r="C938" s="759"/>
      <c r="D938" s="759"/>
      <c r="E938" s="759"/>
      <c r="F938" s="759"/>
      <c r="G938" s="759"/>
      <c r="H938" s="759"/>
      <c r="I938" s="759"/>
      <c r="J938" s="759"/>
      <c r="K938" s="759"/>
      <c r="L938" s="760"/>
    </row>
    <row r="939" spans="2:12" x14ac:dyDescent="0.2">
      <c r="B939" s="803" t="s">
        <v>368</v>
      </c>
      <c r="C939" s="782"/>
      <c r="D939" s="804"/>
      <c r="E939" s="782" t="s">
        <v>394</v>
      </c>
      <c r="F939" s="782"/>
      <c r="G939" s="783" t="s">
        <v>389</v>
      </c>
      <c r="H939" s="784"/>
      <c r="I939" s="784"/>
      <c r="J939" s="784"/>
      <c r="K939" s="784"/>
      <c r="L939" s="785"/>
    </row>
    <row r="940" spans="2:12" x14ac:dyDescent="0.2">
      <c r="B940" s="786" t="s">
        <v>393</v>
      </c>
      <c r="C940" s="787"/>
      <c r="D940" s="265" t="s">
        <v>390</v>
      </c>
      <c r="E940" s="453" t="s">
        <v>391</v>
      </c>
      <c r="F940" s="264" t="s">
        <v>392</v>
      </c>
      <c r="G940" s="452"/>
      <c r="H940" s="453"/>
      <c r="I940" s="453"/>
      <c r="J940" s="453"/>
      <c r="K940" s="453"/>
      <c r="L940" s="454"/>
    </row>
    <row r="941" spans="2:12" x14ac:dyDescent="0.2">
      <c r="B941" s="324"/>
      <c r="C941" s="324"/>
      <c r="D941" s="879"/>
      <c r="E941" s="268"/>
      <c r="F941" s="880"/>
      <c r="G941" s="783"/>
      <c r="H941" s="784"/>
      <c r="I941" s="784"/>
      <c r="J941" s="784"/>
      <c r="K941" s="784"/>
      <c r="L941" s="785"/>
    </row>
    <row r="942" spans="2:12" x14ac:dyDescent="0.2">
      <c r="B942" s="324"/>
      <c r="C942" s="324"/>
      <c r="D942" s="789"/>
      <c r="E942" s="268"/>
      <c r="F942" s="791"/>
      <c r="G942" s="783"/>
      <c r="H942" s="784"/>
      <c r="I942" s="784"/>
      <c r="J942" s="784"/>
      <c r="K942" s="784"/>
      <c r="L942" s="785"/>
    </row>
    <row r="943" spans="2:12" x14ac:dyDescent="0.2">
      <c r="B943" s="792" t="s">
        <v>367</v>
      </c>
      <c r="C943" s="793"/>
      <c r="D943" s="793"/>
      <c r="E943" s="793"/>
      <c r="F943" s="793"/>
      <c r="G943" s="793"/>
      <c r="H943" s="793"/>
      <c r="I943" s="793"/>
      <c r="J943" s="793"/>
      <c r="K943" s="793"/>
      <c r="L943" s="794"/>
    </row>
    <row r="944" spans="2:12" ht="25.5" x14ac:dyDescent="0.2">
      <c r="B944" s="263" t="s">
        <v>368</v>
      </c>
      <c r="C944" s="795" t="s">
        <v>369</v>
      </c>
      <c r="D944" s="796"/>
      <c r="E944" s="797"/>
      <c r="F944" s="795" t="s">
        <v>370</v>
      </c>
      <c r="G944" s="796"/>
      <c r="H944" s="797"/>
      <c r="I944" s="795" t="s">
        <v>371</v>
      </c>
      <c r="J944" s="797"/>
      <c r="K944" s="241" t="s">
        <v>372</v>
      </c>
      <c r="L944" s="242" t="s">
        <v>373</v>
      </c>
    </row>
    <row r="945" spans="2:12" x14ac:dyDescent="0.2">
      <c r="B945" s="243" t="s">
        <v>374</v>
      </c>
      <c r="C945" s="798"/>
      <c r="D945" s="799"/>
      <c r="E945" s="800"/>
      <c r="F945" s="801"/>
      <c r="G945" s="802"/>
      <c r="H945" s="451"/>
      <c r="I945" s="801" t="s">
        <v>407</v>
      </c>
      <c r="J945" s="802"/>
      <c r="K945" s="266"/>
      <c r="L945" s="245"/>
    </row>
    <row r="946" spans="2:12" x14ac:dyDescent="0.2">
      <c r="B946" s="243" t="s">
        <v>375</v>
      </c>
      <c r="C946" s="798"/>
      <c r="D946" s="799"/>
      <c r="E946" s="800"/>
      <c r="F946" s="801"/>
      <c r="G946" s="802"/>
      <c r="H946" s="451"/>
      <c r="I946" s="801" t="s">
        <v>407</v>
      </c>
      <c r="J946" s="802"/>
      <c r="K946" s="266"/>
      <c r="L946" s="245"/>
    </row>
    <row r="947" spans="2:12" x14ac:dyDescent="0.2">
      <c r="B947" s="243" t="s">
        <v>376</v>
      </c>
      <c r="C947" s="798"/>
      <c r="D947" s="799"/>
      <c r="E947" s="800"/>
      <c r="F947" s="801"/>
      <c r="G947" s="802"/>
      <c r="H947" s="451"/>
      <c r="I947" s="801" t="s">
        <v>407</v>
      </c>
      <c r="J947" s="802"/>
      <c r="K947" s="266"/>
      <c r="L947" s="245"/>
    </row>
    <row r="948" spans="2:12" x14ac:dyDescent="0.2">
      <c r="B948" s="805" t="s">
        <v>377</v>
      </c>
      <c r="C948" s="806"/>
      <c r="D948" s="806"/>
      <c r="E948" s="806"/>
      <c r="F948" s="806"/>
      <c r="G948" s="806"/>
      <c r="H948" s="806"/>
      <c r="I948" s="806"/>
      <c r="J948" s="807"/>
      <c r="K948" s="814" t="s">
        <v>378</v>
      </c>
      <c r="L948" s="815"/>
    </row>
    <row r="949" spans="2:12" x14ac:dyDescent="0.2">
      <c r="B949" s="808"/>
      <c r="C949" s="809"/>
      <c r="D949" s="809"/>
      <c r="E949" s="809"/>
      <c r="F949" s="809"/>
      <c r="G949" s="809"/>
      <c r="H949" s="809"/>
      <c r="I949" s="809"/>
      <c r="J949" s="810"/>
      <c r="K949" s="246" t="s">
        <v>379</v>
      </c>
      <c r="L949" s="245"/>
    </row>
    <row r="950" spans="2:12" x14ac:dyDescent="0.2">
      <c r="B950" s="808"/>
      <c r="C950" s="809"/>
      <c r="D950" s="809"/>
      <c r="E950" s="809"/>
      <c r="F950" s="809"/>
      <c r="G950" s="809"/>
      <c r="H950" s="809"/>
      <c r="I950" s="809"/>
      <c r="J950" s="810"/>
      <c r="K950" s="246" t="s">
        <v>380</v>
      </c>
      <c r="L950" s="245"/>
    </row>
    <row r="951" spans="2:12" ht="13.5" thickBot="1" x14ac:dyDescent="0.25">
      <c r="B951" s="811"/>
      <c r="C951" s="812"/>
      <c r="D951" s="812"/>
      <c r="E951" s="812"/>
      <c r="F951" s="812"/>
      <c r="G951" s="812"/>
      <c r="H951" s="812"/>
      <c r="I951" s="812"/>
      <c r="J951" s="813"/>
      <c r="K951" s="247" t="s">
        <v>381</v>
      </c>
      <c r="L951" s="248"/>
    </row>
    <row r="952" spans="2:12" x14ac:dyDescent="0.2">
      <c r="B952" s="362"/>
      <c r="C952" s="360"/>
      <c r="D952" s="360"/>
      <c r="E952" s="360"/>
      <c r="F952" s="360"/>
      <c r="G952" s="360"/>
      <c r="H952" s="360"/>
      <c r="I952" s="360"/>
      <c r="J952" s="360"/>
      <c r="K952" s="361"/>
      <c r="L952" s="445"/>
    </row>
    <row r="953" spans="2:12" x14ac:dyDescent="0.2">
      <c r="B953" s="364"/>
      <c r="C953" s="365"/>
      <c r="D953" s="365"/>
      <c r="E953" s="365"/>
      <c r="F953" s="365"/>
      <c r="G953" s="365"/>
      <c r="H953" s="365"/>
      <c r="I953" s="365"/>
      <c r="J953" s="365"/>
      <c r="K953" s="365"/>
      <c r="L953" s="366"/>
    </row>
    <row r="954" spans="2:12" x14ac:dyDescent="0.2">
      <c r="B954" s="758" t="s">
        <v>382</v>
      </c>
      <c r="C954" s="759"/>
      <c r="D954" s="759"/>
      <c r="E954" s="759"/>
      <c r="F954" s="759"/>
      <c r="G954" s="759"/>
      <c r="H954" s="759"/>
      <c r="I954" s="759"/>
      <c r="J954" s="759"/>
      <c r="K954" s="759"/>
      <c r="L954" s="760"/>
    </row>
    <row r="955" spans="2:12" x14ac:dyDescent="0.2">
      <c r="B955" s="300">
        <v>1</v>
      </c>
      <c r="C955" s="745" t="s">
        <v>527</v>
      </c>
      <c r="D955" s="746"/>
      <c r="E955" s="746"/>
      <c r="F955" s="746"/>
      <c r="G955" s="746"/>
      <c r="H955" s="746"/>
      <c r="I955" s="746"/>
      <c r="J955" s="746"/>
      <c r="K955" s="746"/>
      <c r="L955" s="747"/>
    </row>
    <row r="956" spans="2:12" x14ac:dyDescent="0.2">
      <c r="B956" s="427">
        <v>2</v>
      </c>
      <c r="C956" s="748" t="s">
        <v>528</v>
      </c>
      <c r="D956" s="749"/>
      <c r="E956" s="749"/>
      <c r="F956" s="749"/>
      <c r="G956" s="749"/>
      <c r="H956" s="749"/>
      <c r="I956" s="749"/>
      <c r="J956" s="749"/>
      <c r="K956" s="749"/>
      <c r="L956" s="750"/>
    </row>
    <row r="957" spans="2:12" x14ac:dyDescent="0.2">
      <c r="B957" s="429">
        <v>3</v>
      </c>
      <c r="C957" s="748" t="s">
        <v>529</v>
      </c>
      <c r="D957" s="749"/>
      <c r="E957" s="749"/>
      <c r="F957" s="749"/>
      <c r="G957" s="749"/>
      <c r="H957" s="749"/>
      <c r="I957" s="749"/>
      <c r="J957" s="749"/>
      <c r="K957" s="749"/>
      <c r="L957" s="750"/>
    </row>
    <row r="958" spans="2:12" x14ac:dyDescent="0.2">
      <c r="B958" s="356"/>
      <c r="C958" s="748"/>
      <c r="D958" s="749"/>
      <c r="E958" s="749"/>
      <c r="F958" s="749"/>
      <c r="G958" s="749"/>
      <c r="H958" s="749"/>
      <c r="I958" s="749"/>
      <c r="J958" s="749"/>
      <c r="K958" s="749"/>
      <c r="L958" s="750"/>
    </row>
    <row r="959" spans="2:12" x14ac:dyDescent="0.2">
      <c r="B959" s="470"/>
      <c r="C959" s="748"/>
      <c r="D959" s="749"/>
      <c r="E959" s="749"/>
      <c r="F959" s="749"/>
      <c r="G959" s="749"/>
      <c r="H959" s="749"/>
      <c r="I959" s="749"/>
      <c r="J959" s="749"/>
      <c r="K959" s="749"/>
      <c r="L959" s="750"/>
    </row>
    <row r="960" spans="2:12" x14ac:dyDescent="0.2">
      <c r="B960" s="300"/>
      <c r="C960" s="748"/>
      <c r="D960" s="749"/>
      <c r="E960" s="749"/>
      <c r="F960" s="749"/>
      <c r="G960" s="749"/>
      <c r="H960" s="749"/>
      <c r="I960" s="749"/>
      <c r="J960" s="749"/>
      <c r="K960" s="749"/>
      <c r="L960" s="750"/>
    </row>
    <row r="961" spans="2:12" x14ac:dyDescent="0.2">
      <c r="B961" s="758" t="s">
        <v>386</v>
      </c>
      <c r="C961" s="759"/>
      <c r="D961" s="759"/>
      <c r="E961" s="759"/>
      <c r="F961" s="759"/>
      <c r="G961" s="759"/>
      <c r="H961" s="759"/>
      <c r="I961" s="759"/>
      <c r="J961" s="759"/>
      <c r="K961" s="759"/>
      <c r="L961" s="760"/>
    </row>
    <row r="962" spans="2:12" x14ac:dyDescent="0.2">
      <c r="B962" s="269"/>
      <c r="C962" s="757"/>
      <c r="D962" s="746"/>
      <c r="E962" s="746"/>
      <c r="F962" s="746"/>
      <c r="G962" s="746"/>
      <c r="H962" s="746"/>
      <c r="I962" s="746"/>
      <c r="J962" s="746"/>
      <c r="K962" s="746"/>
      <c r="L962" s="747"/>
    </row>
    <row r="963" spans="2:12" x14ac:dyDescent="0.2">
      <c r="B963" s="269"/>
      <c r="C963" s="757"/>
      <c r="D963" s="746"/>
      <c r="E963" s="746"/>
      <c r="F963" s="746"/>
      <c r="G963" s="746"/>
      <c r="H963" s="746"/>
      <c r="I963" s="746"/>
      <c r="J963" s="746"/>
      <c r="K963" s="746"/>
      <c r="L963" s="747"/>
    </row>
    <row r="964" spans="2:12" x14ac:dyDescent="0.2">
      <c r="B964" s="269"/>
      <c r="C964" s="757"/>
      <c r="D964" s="746"/>
      <c r="E964" s="746"/>
      <c r="F964" s="746"/>
      <c r="G964" s="746"/>
      <c r="H964" s="746"/>
      <c r="I964" s="746"/>
      <c r="J964" s="746"/>
      <c r="K964" s="746"/>
      <c r="L964" s="747"/>
    </row>
    <row r="965" spans="2:12" x14ac:dyDescent="0.2">
      <c r="B965" s="758" t="s">
        <v>387</v>
      </c>
      <c r="C965" s="759"/>
      <c r="D965" s="759"/>
      <c r="E965" s="759"/>
      <c r="F965" s="759"/>
      <c r="G965" s="759"/>
      <c r="H965" s="759"/>
      <c r="I965" s="759"/>
      <c r="J965" s="759"/>
      <c r="K965" s="759"/>
      <c r="L965" s="760"/>
    </row>
    <row r="966" spans="2:12" x14ac:dyDescent="0.2">
      <c r="B966" s="269"/>
      <c r="C966" s="745" t="s">
        <v>530</v>
      </c>
      <c r="D966" s="746"/>
      <c r="E966" s="746"/>
      <c r="F966" s="746"/>
      <c r="G966" s="746"/>
      <c r="H966" s="746"/>
      <c r="I966" s="746"/>
      <c r="J966" s="746"/>
      <c r="K966" s="746"/>
      <c r="L966" s="747"/>
    </row>
    <row r="967" spans="2:12" x14ac:dyDescent="0.2">
      <c r="B967" s="269"/>
      <c r="C967" s="745" t="s">
        <v>531</v>
      </c>
      <c r="D967" s="746"/>
      <c r="E967" s="746"/>
      <c r="F967" s="746"/>
      <c r="G967" s="746"/>
      <c r="H967" s="746"/>
      <c r="I967" s="746"/>
      <c r="J967" s="746"/>
      <c r="K967" s="746"/>
      <c r="L967" s="747"/>
    </row>
    <row r="968" spans="2:12" x14ac:dyDescent="0.2">
      <c r="B968" s="269"/>
      <c r="C968" s="745"/>
      <c r="D968" s="746"/>
      <c r="E968" s="746"/>
      <c r="F968" s="746"/>
      <c r="G968" s="746"/>
      <c r="H968" s="746"/>
      <c r="I968" s="746"/>
      <c r="J968" s="746"/>
      <c r="K968" s="746"/>
      <c r="L968" s="747"/>
    </row>
    <row r="969" spans="2:12" x14ac:dyDescent="0.2">
      <c r="B969" s="269"/>
      <c r="C969" s="754"/>
      <c r="D969" s="755"/>
      <c r="E969" s="755"/>
      <c r="F969" s="755"/>
      <c r="G969" s="755"/>
      <c r="H969" s="755"/>
      <c r="I969" s="755"/>
      <c r="J969" s="755"/>
      <c r="K969" s="755"/>
      <c r="L969" s="756"/>
    </row>
    <row r="970" spans="2:12" x14ac:dyDescent="0.2">
      <c r="B970" s="269"/>
      <c r="C970" s="745"/>
      <c r="D970" s="746"/>
      <c r="E970" s="746"/>
      <c r="F970" s="746"/>
      <c r="G970" s="746"/>
      <c r="H970" s="746"/>
      <c r="I970" s="746"/>
      <c r="J970" s="746"/>
      <c r="K970" s="746"/>
      <c r="L970" s="747"/>
    </row>
    <row r="971" spans="2:12" x14ac:dyDescent="0.2">
      <c r="B971" s="761" t="s">
        <v>383</v>
      </c>
      <c r="C971" s="762"/>
      <c r="D971" s="762"/>
      <c r="E971" s="762"/>
      <c r="F971" s="762"/>
      <c r="G971" s="762"/>
      <c r="H971" s="762"/>
      <c r="I971" s="762"/>
      <c r="J971" s="762"/>
      <c r="K971" s="762"/>
      <c r="L971" s="763"/>
    </row>
    <row r="972" spans="2:12" x14ac:dyDescent="0.2">
      <c r="B972" s="764" t="s">
        <v>446</v>
      </c>
      <c r="C972" s="746"/>
      <c r="D972" s="746"/>
      <c r="E972" s="746"/>
      <c r="F972" s="746"/>
      <c r="G972" s="746"/>
      <c r="H972" s="746"/>
      <c r="I972" s="746"/>
      <c r="J972" s="746"/>
      <c r="K972" s="746"/>
      <c r="L972" s="747"/>
    </row>
    <row r="973" spans="2:12" x14ac:dyDescent="0.2">
      <c r="B973" s="764"/>
      <c r="C973" s="746"/>
      <c r="D973" s="746"/>
      <c r="E973" s="746"/>
      <c r="F973" s="746"/>
      <c r="G973" s="746"/>
      <c r="H973" s="746"/>
      <c r="I973" s="746"/>
      <c r="J973" s="746"/>
      <c r="K973" s="746"/>
      <c r="L973" s="747"/>
    </row>
    <row r="974" spans="2:12" x14ac:dyDescent="0.2">
      <c r="B974" s="764"/>
      <c r="C974" s="746"/>
      <c r="D974" s="746"/>
      <c r="E974" s="746"/>
      <c r="F974" s="746"/>
      <c r="G974" s="746"/>
      <c r="H974" s="746"/>
      <c r="I974" s="746"/>
      <c r="J974" s="746"/>
      <c r="K974" s="746"/>
      <c r="L974" s="747"/>
    </row>
    <row r="975" spans="2:12" x14ac:dyDescent="0.2">
      <c r="B975" s="764"/>
      <c r="C975" s="746"/>
      <c r="D975" s="746"/>
      <c r="E975" s="746"/>
      <c r="F975" s="746"/>
      <c r="G975" s="746"/>
      <c r="H975" s="746"/>
      <c r="I975" s="746"/>
      <c r="J975" s="746"/>
      <c r="K975" s="746"/>
      <c r="L975" s="747"/>
    </row>
    <row r="976" spans="2:12" x14ac:dyDescent="0.2">
      <c r="B976" s="768"/>
      <c r="C976" s="769"/>
      <c r="D976" s="769"/>
      <c r="E976" s="769"/>
      <c r="F976" s="769"/>
      <c r="G976" s="447"/>
      <c r="H976" s="769"/>
      <c r="I976" s="769"/>
      <c r="J976" s="769"/>
      <c r="K976" s="769"/>
      <c r="L976" s="774"/>
    </row>
    <row r="977" spans="2:12" x14ac:dyDescent="0.2">
      <c r="B977" s="770"/>
      <c r="C977" s="771"/>
      <c r="D977" s="771"/>
      <c r="E977" s="771"/>
      <c r="F977" s="771"/>
      <c r="G977" s="448"/>
      <c r="H977" s="771"/>
      <c r="I977" s="771"/>
      <c r="J977" s="771"/>
      <c r="K977" s="771"/>
      <c r="L977" s="775"/>
    </row>
    <row r="978" spans="2:12" x14ac:dyDescent="0.2">
      <c r="B978" s="770"/>
      <c r="C978" s="771"/>
      <c r="D978" s="771"/>
      <c r="E978" s="771"/>
      <c r="F978" s="771"/>
      <c r="G978" s="448"/>
      <c r="H978" s="771"/>
      <c r="I978" s="771"/>
      <c r="J978" s="771"/>
      <c r="K978" s="771"/>
      <c r="L978" s="775"/>
    </row>
    <row r="979" spans="2:12" x14ac:dyDescent="0.2">
      <c r="B979" s="772"/>
      <c r="C979" s="773"/>
      <c r="D979" s="773"/>
      <c r="E979" s="773"/>
      <c r="F979" s="773"/>
      <c r="G979" s="449"/>
      <c r="H979" s="773"/>
      <c r="I979" s="773"/>
      <c r="J979" s="773"/>
      <c r="K979" s="773"/>
      <c r="L979" s="776"/>
    </row>
    <row r="980" spans="2:12" ht="13.5" thickBot="1" x14ac:dyDescent="0.25">
      <c r="B980" s="751" t="s">
        <v>384</v>
      </c>
      <c r="C980" s="752"/>
      <c r="D980" s="752"/>
      <c r="E980" s="752"/>
      <c r="F980" s="752"/>
      <c r="G980" s="450"/>
      <c r="H980" s="752" t="s">
        <v>385</v>
      </c>
      <c r="I980" s="752"/>
      <c r="J980" s="752"/>
      <c r="K980" s="752"/>
      <c r="L980" s="753"/>
    </row>
  </sheetData>
  <mergeCells count="1297">
    <mergeCell ref="C963:L963"/>
    <mergeCell ref="C964:L964"/>
    <mergeCell ref="B965:L965"/>
    <mergeCell ref="C966:L966"/>
    <mergeCell ref="C967:L967"/>
    <mergeCell ref="C968:L968"/>
    <mergeCell ref="C969:L969"/>
    <mergeCell ref="C970:L970"/>
    <mergeCell ref="B971:L971"/>
    <mergeCell ref="B972:L972"/>
    <mergeCell ref="B973:L973"/>
    <mergeCell ref="B974:L974"/>
    <mergeCell ref="B975:L975"/>
    <mergeCell ref="B976:F979"/>
    <mergeCell ref="H976:L979"/>
    <mergeCell ref="B980:F980"/>
    <mergeCell ref="H980:L980"/>
    <mergeCell ref="C946:E946"/>
    <mergeCell ref="F946:G946"/>
    <mergeCell ref="I946:J946"/>
    <mergeCell ref="C947:E947"/>
    <mergeCell ref="F947:G947"/>
    <mergeCell ref="I947:J947"/>
    <mergeCell ref="B948:J951"/>
    <mergeCell ref="K948:L948"/>
    <mergeCell ref="B954:L954"/>
    <mergeCell ref="C955:L955"/>
    <mergeCell ref="C956:L956"/>
    <mergeCell ref="C957:L957"/>
    <mergeCell ref="C958:L958"/>
    <mergeCell ref="C959:L959"/>
    <mergeCell ref="C960:L960"/>
    <mergeCell ref="B961:L961"/>
    <mergeCell ref="C962:L962"/>
    <mergeCell ref="B937:K937"/>
    <mergeCell ref="B938:L938"/>
    <mergeCell ref="B939:D939"/>
    <mergeCell ref="E939:F939"/>
    <mergeCell ref="G939:L939"/>
    <mergeCell ref="B940:C940"/>
    <mergeCell ref="D941:D942"/>
    <mergeCell ref="F941:F942"/>
    <mergeCell ref="G941:L941"/>
    <mergeCell ref="G942:L942"/>
    <mergeCell ref="B943:L943"/>
    <mergeCell ref="C944:E944"/>
    <mergeCell ref="F944:H944"/>
    <mergeCell ref="I944:J944"/>
    <mergeCell ref="C945:E945"/>
    <mergeCell ref="F945:G945"/>
    <mergeCell ref="I945:J945"/>
    <mergeCell ref="B930:I930"/>
    <mergeCell ref="J930:L930"/>
    <mergeCell ref="B931:B932"/>
    <mergeCell ref="C931:D932"/>
    <mergeCell ref="E931:H932"/>
    <mergeCell ref="I931:I932"/>
    <mergeCell ref="J931:J932"/>
    <mergeCell ref="K931:K932"/>
    <mergeCell ref="L931:L932"/>
    <mergeCell ref="C933:D933"/>
    <mergeCell ref="E933:H933"/>
    <mergeCell ref="C934:D934"/>
    <mergeCell ref="E934:H934"/>
    <mergeCell ref="C935:D935"/>
    <mergeCell ref="E935:H935"/>
    <mergeCell ref="B936:H936"/>
    <mergeCell ref="J936:K936"/>
    <mergeCell ref="B920:B921"/>
    <mergeCell ref="C920:D921"/>
    <mergeCell ref="E920:K921"/>
    <mergeCell ref="L920:L921"/>
    <mergeCell ref="C922:D922"/>
    <mergeCell ref="E922:K922"/>
    <mergeCell ref="C923:D923"/>
    <mergeCell ref="E923:K923"/>
    <mergeCell ref="C924:D924"/>
    <mergeCell ref="E924:K924"/>
    <mergeCell ref="C925:D925"/>
    <mergeCell ref="E925:K925"/>
    <mergeCell ref="C926:D926"/>
    <mergeCell ref="E926:K926"/>
    <mergeCell ref="B927:K927"/>
    <mergeCell ref="B928:K928"/>
    <mergeCell ref="B929:L929"/>
    <mergeCell ref="C908:L908"/>
    <mergeCell ref="C909:L909"/>
    <mergeCell ref="B910:L910"/>
    <mergeCell ref="B911:L911"/>
    <mergeCell ref="B912:D913"/>
    <mergeCell ref="E912:K913"/>
    <mergeCell ref="L912:L913"/>
    <mergeCell ref="B914:D914"/>
    <mergeCell ref="E914:K914"/>
    <mergeCell ref="B915:D915"/>
    <mergeCell ref="E915:K915"/>
    <mergeCell ref="B916:D916"/>
    <mergeCell ref="E916:K916"/>
    <mergeCell ref="B917:D917"/>
    <mergeCell ref="E917:K917"/>
    <mergeCell ref="B918:K918"/>
    <mergeCell ref="B919:L919"/>
    <mergeCell ref="B893:L893"/>
    <mergeCell ref="D896:I896"/>
    <mergeCell ref="D897:I897"/>
    <mergeCell ref="D898:I898"/>
    <mergeCell ref="B899:L899"/>
    <mergeCell ref="B900:C900"/>
    <mergeCell ref="D900:J900"/>
    <mergeCell ref="C901:J901"/>
    <mergeCell ref="B902:C902"/>
    <mergeCell ref="D902:L902"/>
    <mergeCell ref="B903:D903"/>
    <mergeCell ref="E903:L903"/>
    <mergeCell ref="D904:L904"/>
    <mergeCell ref="B905:L905"/>
    <mergeCell ref="B906:D906"/>
    <mergeCell ref="E906:L906"/>
    <mergeCell ref="C907:L907"/>
    <mergeCell ref="C874:L874"/>
    <mergeCell ref="B875:L875"/>
    <mergeCell ref="C876:L876"/>
    <mergeCell ref="C877:L877"/>
    <mergeCell ref="C878:L878"/>
    <mergeCell ref="C879:L879"/>
    <mergeCell ref="C880:L880"/>
    <mergeCell ref="B881:L881"/>
    <mergeCell ref="B882:L882"/>
    <mergeCell ref="B883:L883"/>
    <mergeCell ref="B884:L884"/>
    <mergeCell ref="B885:L885"/>
    <mergeCell ref="B886:F889"/>
    <mergeCell ref="H886:L889"/>
    <mergeCell ref="B890:F890"/>
    <mergeCell ref="H890:L890"/>
    <mergeCell ref="C869:L869"/>
    <mergeCell ref="C856:E856"/>
    <mergeCell ref="F856:G856"/>
    <mergeCell ref="I856:J856"/>
    <mergeCell ref="C857:E857"/>
    <mergeCell ref="F857:G857"/>
    <mergeCell ref="I857:J857"/>
    <mergeCell ref="B858:J861"/>
    <mergeCell ref="K858:L858"/>
    <mergeCell ref="B864:L864"/>
    <mergeCell ref="C865:L865"/>
    <mergeCell ref="C866:L866"/>
    <mergeCell ref="C867:L867"/>
    <mergeCell ref="C868:L868"/>
    <mergeCell ref="C870:L870"/>
    <mergeCell ref="B871:L871"/>
    <mergeCell ref="C872:L872"/>
    <mergeCell ref="C873:L873"/>
    <mergeCell ref="B847:K847"/>
    <mergeCell ref="B848:L848"/>
    <mergeCell ref="B849:D849"/>
    <mergeCell ref="E849:F849"/>
    <mergeCell ref="G849:L849"/>
    <mergeCell ref="B850:C850"/>
    <mergeCell ref="D851:D852"/>
    <mergeCell ref="F851:F852"/>
    <mergeCell ref="G851:L851"/>
    <mergeCell ref="G852:L852"/>
    <mergeCell ref="B853:L853"/>
    <mergeCell ref="C854:E854"/>
    <mergeCell ref="F854:H854"/>
    <mergeCell ref="I854:J854"/>
    <mergeCell ref="C855:E855"/>
    <mergeCell ref="F855:G855"/>
    <mergeCell ref="I855:J855"/>
    <mergeCell ref="B840:I840"/>
    <mergeCell ref="J840:L840"/>
    <mergeCell ref="B841:B842"/>
    <mergeCell ref="C841:D842"/>
    <mergeCell ref="E841:H842"/>
    <mergeCell ref="I841:I842"/>
    <mergeCell ref="J841:J842"/>
    <mergeCell ref="K841:K842"/>
    <mergeCell ref="L841:L842"/>
    <mergeCell ref="C843:D843"/>
    <mergeCell ref="E843:H843"/>
    <mergeCell ref="C844:D844"/>
    <mergeCell ref="E844:H844"/>
    <mergeCell ref="C845:D845"/>
    <mergeCell ref="E845:H845"/>
    <mergeCell ref="B846:H846"/>
    <mergeCell ref="J846:K846"/>
    <mergeCell ref="B830:B831"/>
    <mergeCell ref="C830:D831"/>
    <mergeCell ref="E830:K831"/>
    <mergeCell ref="L830:L831"/>
    <mergeCell ref="C832:D832"/>
    <mergeCell ref="E832:K832"/>
    <mergeCell ref="C833:D833"/>
    <mergeCell ref="E833:K833"/>
    <mergeCell ref="C834:D834"/>
    <mergeCell ref="E834:K834"/>
    <mergeCell ref="C835:D835"/>
    <mergeCell ref="E835:K835"/>
    <mergeCell ref="C836:D836"/>
    <mergeCell ref="E836:K836"/>
    <mergeCell ref="B837:K837"/>
    <mergeCell ref="B838:K838"/>
    <mergeCell ref="B839:L839"/>
    <mergeCell ref="C818:L818"/>
    <mergeCell ref="C819:L819"/>
    <mergeCell ref="B820:L820"/>
    <mergeCell ref="B821:L821"/>
    <mergeCell ref="B822:D823"/>
    <mergeCell ref="E822:K823"/>
    <mergeCell ref="L822:L823"/>
    <mergeCell ref="B824:D824"/>
    <mergeCell ref="E824:K824"/>
    <mergeCell ref="B825:D825"/>
    <mergeCell ref="E825:K825"/>
    <mergeCell ref="B826:D826"/>
    <mergeCell ref="E826:K826"/>
    <mergeCell ref="B827:D827"/>
    <mergeCell ref="E827:K827"/>
    <mergeCell ref="B828:K828"/>
    <mergeCell ref="B829:L829"/>
    <mergeCell ref="B803:L803"/>
    <mergeCell ref="D806:I806"/>
    <mergeCell ref="D807:I807"/>
    <mergeCell ref="D808:I808"/>
    <mergeCell ref="B809:L809"/>
    <mergeCell ref="B810:C810"/>
    <mergeCell ref="D810:J810"/>
    <mergeCell ref="C811:J811"/>
    <mergeCell ref="B812:C812"/>
    <mergeCell ref="D812:L812"/>
    <mergeCell ref="B813:D813"/>
    <mergeCell ref="E813:L813"/>
    <mergeCell ref="D814:L814"/>
    <mergeCell ref="B815:L815"/>
    <mergeCell ref="B816:D816"/>
    <mergeCell ref="E816:L816"/>
    <mergeCell ref="C817:L817"/>
    <mergeCell ref="C788:L788"/>
    <mergeCell ref="C789:L789"/>
    <mergeCell ref="C790:L790"/>
    <mergeCell ref="B791:L791"/>
    <mergeCell ref="B792:L792"/>
    <mergeCell ref="B793:L793"/>
    <mergeCell ref="B794:L794"/>
    <mergeCell ref="B795:L795"/>
    <mergeCell ref="B796:F799"/>
    <mergeCell ref="H796:L799"/>
    <mergeCell ref="B800:F800"/>
    <mergeCell ref="H800:L800"/>
    <mergeCell ref="C779:L779"/>
    <mergeCell ref="C780:L780"/>
    <mergeCell ref="B781:L781"/>
    <mergeCell ref="C782:L782"/>
    <mergeCell ref="C783:L783"/>
    <mergeCell ref="C784:L784"/>
    <mergeCell ref="B785:L785"/>
    <mergeCell ref="C786:L786"/>
    <mergeCell ref="C787:L787"/>
    <mergeCell ref="C768:E768"/>
    <mergeCell ref="F768:G768"/>
    <mergeCell ref="I768:J768"/>
    <mergeCell ref="B769:J772"/>
    <mergeCell ref="K769:L769"/>
    <mergeCell ref="B775:L775"/>
    <mergeCell ref="C776:L776"/>
    <mergeCell ref="C777:L777"/>
    <mergeCell ref="C778:L778"/>
    <mergeCell ref="B764:L764"/>
    <mergeCell ref="C765:E765"/>
    <mergeCell ref="F765:H765"/>
    <mergeCell ref="I765:J765"/>
    <mergeCell ref="C766:E766"/>
    <mergeCell ref="F766:G766"/>
    <mergeCell ref="I766:J766"/>
    <mergeCell ref="C767:E767"/>
    <mergeCell ref="F767:G767"/>
    <mergeCell ref="I767:J767"/>
    <mergeCell ref="B759:L759"/>
    <mergeCell ref="B760:D760"/>
    <mergeCell ref="E760:F760"/>
    <mergeCell ref="G760:L760"/>
    <mergeCell ref="B761:C761"/>
    <mergeCell ref="D762:D763"/>
    <mergeCell ref="F762:F763"/>
    <mergeCell ref="G762:L762"/>
    <mergeCell ref="G763:L763"/>
    <mergeCell ref="C754:D754"/>
    <mergeCell ref="E754:H754"/>
    <mergeCell ref="C755:D755"/>
    <mergeCell ref="E755:H755"/>
    <mergeCell ref="C756:D756"/>
    <mergeCell ref="E756:H756"/>
    <mergeCell ref="B757:H757"/>
    <mergeCell ref="J757:K757"/>
    <mergeCell ref="B758:K758"/>
    <mergeCell ref="B748:K748"/>
    <mergeCell ref="B749:K749"/>
    <mergeCell ref="B750:L750"/>
    <mergeCell ref="B751:I751"/>
    <mergeCell ref="J751:L751"/>
    <mergeCell ref="B752:B753"/>
    <mergeCell ref="C752:D753"/>
    <mergeCell ref="E752:H753"/>
    <mergeCell ref="I752:I753"/>
    <mergeCell ref="J752:J753"/>
    <mergeCell ref="K752:K753"/>
    <mergeCell ref="L752:L753"/>
    <mergeCell ref="C743:D743"/>
    <mergeCell ref="E743:K743"/>
    <mergeCell ref="C744:D744"/>
    <mergeCell ref="E744:K744"/>
    <mergeCell ref="C745:D745"/>
    <mergeCell ref="E745:K745"/>
    <mergeCell ref="C746:D746"/>
    <mergeCell ref="E746:K746"/>
    <mergeCell ref="C747:D747"/>
    <mergeCell ref="E747:K747"/>
    <mergeCell ref="B737:D737"/>
    <mergeCell ref="E737:K737"/>
    <mergeCell ref="B738:D738"/>
    <mergeCell ref="E738:K738"/>
    <mergeCell ref="B739:K739"/>
    <mergeCell ref="B740:L740"/>
    <mergeCell ref="B741:B742"/>
    <mergeCell ref="C741:D742"/>
    <mergeCell ref="E741:K742"/>
    <mergeCell ref="L741:L742"/>
    <mergeCell ref="B731:L731"/>
    <mergeCell ref="B732:L732"/>
    <mergeCell ref="B733:D734"/>
    <mergeCell ref="E733:K734"/>
    <mergeCell ref="L733:L734"/>
    <mergeCell ref="B735:D735"/>
    <mergeCell ref="E735:K735"/>
    <mergeCell ref="B736:D736"/>
    <mergeCell ref="E736:K736"/>
    <mergeCell ref="B724:D724"/>
    <mergeCell ref="E724:L724"/>
    <mergeCell ref="D725:L725"/>
    <mergeCell ref="B726:L726"/>
    <mergeCell ref="B727:D727"/>
    <mergeCell ref="E727:L727"/>
    <mergeCell ref="C728:L728"/>
    <mergeCell ref="C729:L729"/>
    <mergeCell ref="C730:L730"/>
    <mergeCell ref="B714:L714"/>
    <mergeCell ref="D717:I717"/>
    <mergeCell ref="D718:I718"/>
    <mergeCell ref="D719:I719"/>
    <mergeCell ref="B720:L720"/>
    <mergeCell ref="B721:C721"/>
    <mergeCell ref="D721:J721"/>
    <mergeCell ref="C722:J722"/>
    <mergeCell ref="B723:C723"/>
    <mergeCell ref="D723:L723"/>
    <mergeCell ref="C701:L701"/>
    <mergeCell ref="B702:L702"/>
    <mergeCell ref="B703:L703"/>
    <mergeCell ref="B704:L704"/>
    <mergeCell ref="B705:L705"/>
    <mergeCell ref="B706:L706"/>
    <mergeCell ref="B707:F710"/>
    <mergeCell ref="H707:L710"/>
    <mergeCell ref="B711:F711"/>
    <mergeCell ref="H711:L711"/>
    <mergeCell ref="C692:L692"/>
    <mergeCell ref="C693:L693"/>
    <mergeCell ref="B694:L694"/>
    <mergeCell ref="C695:L695"/>
    <mergeCell ref="C696:L696"/>
    <mergeCell ref="C697:L697"/>
    <mergeCell ref="B698:L698"/>
    <mergeCell ref="C699:L699"/>
    <mergeCell ref="C700:L700"/>
    <mergeCell ref="C691:L691"/>
    <mergeCell ref="C681:E681"/>
    <mergeCell ref="F681:G681"/>
    <mergeCell ref="I681:J681"/>
    <mergeCell ref="B682:J685"/>
    <mergeCell ref="K682:L682"/>
    <mergeCell ref="B688:L688"/>
    <mergeCell ref="C689:L689"/>
    <mergeCell ref="C690:L690"/>
    <mergeCell ref="B677:L677"/>
    <mergeCell ref="C678:E678"/>
    <mergeCell ref="F678:H678"/>
    <mergeCell ref="I678:J678"/>
    <mergeCell ref="C679:E679"/>
    <mergeCell ref="F679:G679"/>
    <mergeCell ref="I679:J679"/>
    <mergeCell ref="C680:E680"/>
    <mergeCell ref="F680:G680"/>
    <mergeCell ref="I680:J680"/>
    <mergeCell ref="B672:L672"/>
    <mergeCell ref="B673:D673"/>
    <mergeCell ref="E673:F673"/>
    <mergeCell ref="G673:L673"/>
    <mergeCell ref="B674:C674"/>
    <mergeCell ref="D675:D676"/>
    <mergeCell ref="F675:F676"/>
    <mergeCell ref="G675:L675"/>
    <mergeCell ref="G676:L676"/>
    <mergeCell ref="C667:D667"/>
    <mergeCell ref="E667:H667"/>
    <mergeCell ref="C668:D668"/>
    <mergeCell ref="E668:H668"/>
    <mergeCell ref="C669:D669"/>
    <mergeCell ref="E669:H669"/>
    <mergeCell ref="B670:H670"/>
    <mergeCell ref="J670:K670"/>
    <mergeCell ref="B671:K671"/>
    <mergeCell ref="B661:K661"/>
    <mergeCell ref="B662:K662"/>
    <mergeCell ref="B663:L663"/>
    <mergeCell ref="B664:I664"/>
    <mergeCell ref="J664:L664"/>
    <mergeCell ref="B665:B666"/>
    <mergeCell ref="C665:D666"/>
    <mergeCell ref="E665:H666"/>
    <mergeCell ref="I665:I666"/>
    <mergeCell ref="J665:J666"/>
    <mergeCell ref="K665:K666"/>
    <mergeCell ref="L665:L666"/>
    <mergeCell ref="C656:D656"/>
    <mergeCell ref="E656:K656"/>
    <mergeCell ref="C657:D657"/>
    <mergeCell ref="E657:K657"/>
    <mergeCell ref="C658:D658"/>
    <mergeCell ref="E658:K658"/>
    <mergeCell ref="C659:D659"/>
    <mergeCell ref="E659:K659"/>
    <mergeCell ref="C660:D660"/>
    <mergeCell ref="E660:K660"/>
    <mergeCell ref="B650:D650"/>
    <mergeCell ref="E650:K650"/>
    <mergeCell ref="B651:D651"/>
    <mergeCell ref="E651:K651"/>
    <mergeCell ref="B652:K652"/>
    <mergeCell ref="B653:L653"/>
    <mergeCell ref="B654:B655"/>
    <mergeCell ref="C654:D655"/>
    <mergeCell ref="E654:K655"/>
    <mergeCell ref="L654:L655"/>
    <mergeCell ref="B644:L644"/>
    <mergeCell ref="B645:L645"/>
    <mergeCell ref="B646:D647"/>
    <mergeCell ref="E646:K647"/>
    <mergeCell ref="L646:L647"/>
    <mergeCell ref="B648:D648"/>
    <mergeCell ref="E648:K648"/>
    <mergeCell ref="B649:D649"/>
    <mergeCell ref="E649:K649"/>
    <mergeCell ref="B637:D637"/>
    <mergeCell ref="E637:L637"/>
    <mergeCell ref="D638:L638"/>
    <mergeCell ref="B639:L639"/>
    <mergeCell ref="B640:D640"/>
    <mergeCell ref="E640:L640"/>
    <mergeCell ref="C641:L641"/>
    <mergeCell ref="C642:L642"/>
    <mergeCell ref="C643:L643"/>
    <mergeCell ref="B627:L627"/>
    <mergeCell ref="D630:I630"/>
    <mergeCell ref="D631:I631"/>
    <mergeCell ref="D632:I632"/>
    <mergeCell ref="B633:L633"/>
    <mergeCell ref="B634:C634"/>
    <mergeCell ref="D634:J634"/>
    <mergeCell ref="C635:J635"/>
    <mergeCell ref="B636:C636"/>
    <mergeCell ref="D636:L636"/>
    <mergeCell ref="B619:L619"/>
    <mergeCell ref="B620:F623"/>
    <mergeCell ref="H620:L623"/>
    <mergeCell ref="B624:F624"/>
    <mergeCell ref="H624:L624"/>
    <mergeCell ref="C599:L599"/>
    <mergeCell ref="C601:L601"/>
    <mergeCell ref="C596:L596"/>
    <mergeCell ref="C602:L602"/>
    <mergeCell ref="C604:L604"/>
    <mergeCell ref="C610:L610"/>
    <mergeCell ref="B611:L611"/>
    <mergeCell ref="C612:L612"/>
    <mergeCell ref="C613:L613"/>
    <mergeCell ref="C614:L614"/>
    <mergeCell ref="B615:L615"/>
    <mergeCell ref="B616:L616"/>
    <mergeCell ref="B617:L617"/>
    <mergeCell ref="B618:L618"/>
    <mergeCell ref="C597:L597"/>
    <mergeCell ref="C598:L598"/>
    <mergeCell ref="C600:L600"/>
    <mergeCell ref="C603:L603"/>
    <mergeCell ref="C605:L605"/>
    <mergeCell ref="C606:L606"/>
    <mergeCell ref="B607:L607"/>
    <mergeCell ref="C608:L608"/>
    <mergeCell ref="C609:L609"/>
    <mergeCell ref="C585:E585"/>
    <mergeCell ref="F585:G585"/>
    <mergeCell ref="I585:J585"/>
    <mergeCell ref="B586:J589"/>
    <mergeCell ref="K586:L586"/>
    <mergeCell ref="B592:L592"/>
    <mergeCell ref="C593:L593"/>
    <mergeCell ref="C594:L594"/>
    <mergeCell ref="C595:L595"/>
    <mergeCell ref="B581:L581"/>
    <mergeCell ref="C582:E582"/>
    <mergeCell ref="F582:H582"/>
    <mergeCell ref="I582:J582"/>
    <mergeCell ref="C583:E583"/>
    <mergeCell ref="F583:G583"/>
    <mergeCell ref="I583:J583"/>
    <mergeCell ref="C584:E584"/>
    <mergeCell ref="F584:G584"/>
    <mergeCell ref="I584:J584"/>
    <mergeCell ref="B576:L576"/>
    <mergeCell ref="B577:D577"/>
    <mergeCell ref="E577:F577"/>
    <mergeCell ref="G577:L577"/>
    <mergeCell ref="B578:C578"/>
    <mergeCell ref="D579:D580"/>
    <mergeCell ref="F579:F580"/>
    <mergeCell ref="G579:L579"/>
    <mergeCell ref="G580:L580"/>
    <mergeCell ref="C571:D571"/>
    <mergeCell ref="E571:H571"/>
    <mergeCell ref="C572:D572"/>
    <mergeCell ref="E572:H572"/>
    <mergeCell ref="C573:D573"/>
    <mergeCell ref="E573:H573"/>
    <mergeCell ref="B574:H574"/>
    <mergeCell ref="J574:K574"/>
    <mergeCell ref="B575:K575"/>
    <mergeCell ref="B565:K565"/>
    <mergeCell ref="B566:K566"/>
    <mergeCell ref="B567:L567"/>
    <mergeCell ref="B568:I568"/>
    <mergeCell ref="J568:L568"/>
    <mergeCell ref="B569:B570"/>
    <mergeCell ref="C569:D570"/>
    <mergeCell ref="E569:H570"/>
    <mergeCell ref="I569:I570"/>
    <mergeCell ref="J569:J570"/>
    <mergeCell ref="K569:K570"/>
    <mergeCell ref="L569:L570"/>
    <mergeCell ref="C560:D560"/>
    <mergeCell ref="E560:K560"/>
    <mergeCell ref="C561:D561"/>
    <mergeCell ref="E561:K561"/>
    <mergeCell ref="C562:D562"/>
    <mergeCell ref="E562:K562"/>
    <mergeCell ref="C563:D563"/>
    <mergeCell ref="E563:K563"/>
    <mergeCell ref="C564:D564"/>
    <mergeCell ref="E564:K564"/>
    <mergeCell ref="B554:D554"/>
    <mergeCell ref="E554:K554"/>
    <mergeCell ref="B555:D555"/>
    <mergeCell ref="E555:K555"/>
    <mergeCell ref="B556:K556"/>
    <mergeCell ref="B557:L557"/>
    <mergeCell ref="B558:B559"/>
    <mergeCell ref="C558:D559"/>
    <mergeCell ref="E558:K559"/>
    <mergeCell ref="L558:L559"/>
    <mergeCell ref="B548:L548"/>
    <mergeCell ref="B549:L549"/>
    <mergeCell ref="B550:D551"/>
    <mergeCell ref="E550:K551"/>
    <mergeCell ref="L550:L551"/>
    <mergeCell ref="B552:D552"/>
    <mergeCell ref="E552:K552"/>
    <mergeCell ref="B553:D553"/>
    <mergeCell ref="E553:K553"/>
    <mergeCell ref="B541:D541"/>
    <mergeCell ref="E541:L541"/>
    <mergeCell ref="D542:L542"/>
    <mergeCell ref="B543:L543"/>
    <mergeCell ref="B544:D544"/>
    <mergeCell ref="E544:L544"/>
    <mergeCell ref="C545:L545"/>
    <mergeCell ref="C546:L546"/>
    <mergeCell ref="C547:L547"/>
    <mergeCell ref="B531:L531"/>
    <mergeCell ref="D534:I534"/>
    <mergeCell ref="D535:I535"/>
    <mergeCell ref="D536:I536"/>
    <mergeCell ref="B537:L537"/>
    <mergeCell ref="B538:C538"/>
    <mergeCell ref="D538:J538"/>
    <mergeCell ref="C539:J539"/>
    <mergeCell ref="B540:C540"/>
    <mergeCell ref="D540:L540"/>
    <mergeCell ref="B432:L432"/>
    <mergeCell ref="B433:F436"/>
    <mergeCell ref="H433:L436"/>
    <mergeCell ref="B437:F437"/>
    <mergeCell ref="H437:L437"/>
    <mergeCell ref="C423:L423"/>
    <mergeCell ref="B424:L424"/>
    <mergeCell ref="C425:L425"/>
    <mergeCell ref="C426:L426"/>
    <mergeCell ref="C427:L427"/>
    <mergeCell ref="B428:L428"/>
    <mergeCell ref="B429:L429"/>
    <mergeCell ref="B430:L430"/>
    <mergeCell ref="B431:L431"/>
    <mergeCell ref="C422:L422"/>
    <mergeCell ref="C405:E405"/>
    <mergeCell ref="F405:G405"/>
    <mergeCell ref="I405:J405"/>
    <mergeCell ref="B406:J409"/>
    <mergeCell ref="K406:L406"/>
    <mergeCell ref="B412:L412"/>
    <mergeCell ref="C413:L413"/>
    <mergeCell ref="C414:L414"/>
    <mergeCell ref="C415:L415"/>
    <mergeCell ref="C416:L416"/>
    <mergeCell ref="C417:L417"/>
    <mergeCell ref="C418:L418"/>
    <mergeCell ref="C419:L419"/>
    <mergeCell ref="B420:L420"/>
    <mergeCell ref="C421:L421"/>
    <mergeCell ref="B401:L401"/>
    <mergeCell ref="C402:E402"/>
    <mergeCell ref="F402:H402"/>
    <mergeCell ref="I402:J402"/>
    <mergeCell ref="C403:E403"/>
    <mergeCell ref="F403:G403"/>
    <mergeCell ref="I403:J403"/>
    <mergeCell ref="C404:E404"/>
    <mergeCell ref="F404:G404"/>
    <mergeCell ref="I404:J404"/>
    <mergeCell ref="B396:L396"/>
    <mergeCell ref="B397:D397"/>
    <mergeCell ref="E397:F397"/>
    <mergeCell ref="G397:L397"/>
    <mergeCell ref="B398:C398"/>
    <mergeCell ref="D399:D400"/>
    <mergeCell ref="F399:F400"/>
    <mergeCell ref="G399:L399"/>
    <mergeCell ref="G400:L400"/>
    <mergeCell ref="C391:D391"/>
    <mergeCell ref="E391:H391"/>
    <mergeCell ref="C392:D392"/>
    <mergeCell ref="E392:H392"/>
    <mergeCell ref="C393:D393"/>
    <mergeCell ref="E393:H393"/>
    <mergeCell ref="B394:H394"/>
    <mergeCell ref="J394:K394"/>
    <mergeCell ref="B395:K395"/>
    <mergeCell ref="B385:K385"/>
    <mergeCell ref="B386:K386"/>
    <mergeCell ref="B387:L387"/>
    <mergeCell ref="B388:I388"/>
    <mergeCell ref="J388:L388"/>
    <mergeCell ref="B389:B390"/>
    <mergeCell ref="C389:D390"/>
    <mergeCell ref="E389:H390"/>
    <mergeCell ref="I389:I390"/>
    <mergeCell ref="J389:J390"/>
    <mergeCell ref="K389:K390"/>
    <mergeCell ref="L389:L390"/>
    <mergeCell ref="C380:D380"/>
    <mergeCell ref="E380:K380"/>
    <mergeCell ref="C381:D381"/>
    <mergeCell ref="E381:K381"/>
    <mergeCell ref="C382:D382"/>
    <mergeCell ref="E382:K382"/>
    <mergeCell ref="C383:D383"/>
    <mergeCell ref="E383:K383"/>
    <mergeCell ref="C384:D384"/>
    <mergeCell ref="E384:K384"/>
    <mergeCell ref="B374:D374"/>
    <mergeCell ref="E374:K374"/>
    <mergeCell ref="B375:D375"/>
    <mergeCell ref="E375:K375"/>
    <mergeCell ref="B376:K376"/>
    <mergeCell ref="B377:L377"/>
    <mergeCell ref="B378:B379"/>
    <mergeCell ref="C378:D379"/>
    <mergeCell ref="E378:K379"/>
    <mergeCell ref="L378:L379"/>
    <mergeCell ref="B368:L368"/>
    <mergeCell ref="B369:L369"/>
    <mergeCell ref="B370:D371"/>
    <mergeCell ref="E370:K371"/>
    <mergeCell ref="L370:L371"/>
    <mergeCell ref="B372:D372"/>
    <mergeCell ref="E372:K372"/>
    <mergeCell ref="B373:D373"/>
    <mergeCell ref="E373:K373"/>
    <mergeCell ref="B361:D361"/>
    <mergeCell ref="E361:L361"/>
    <mergeCell ref="D362:L362"/>
    <mergeCell ref="B363:L363"/>
    <mergeCell ref="B364:D364"/>
    <mergeCell ref="E364:L364"/>
    <mergeCell ref="C365:L365"/>
    <mergeCell ref="C366:L366"/>
    <mergeCell ref="C367:L367"/>
    <mergeCell ref="B351:L351"/>
    <mergeCell ref="D354:I354"/>
    <mergeCell ref="D355:I355"/>
    <mergeCell ref="D356:I356"/>
    <mergeCell ref="B357:L357"/>
    <mergeCell ref="B358:C358"/>
    <mergeCell ref="D358:J358"/>
    <mergeCell ref="C359:J359"/>
    <mergeCell ref="B360:C360"/>
    <mergeCell ref="D360:L360"/>
    <mergeCell ref="B253:L253"/>
    <mergeCell ref="B254:L254"/>
    <mergeCell ref="B255:L255"/>
    <mergeCell ref="B256:F259"/>
    <mergeCell ref="H256:L259"/>
    <mergeCell ref="B260:F260"/>
    <mergeCell ref="H260:L260"/>
    <mergeCell ref="B263:L263"/>
    <mergeCell ref="D266:I266"/>
    <mergeCell ref="D267:I267"/>
    <mergeCell ref="D268:I268"/>
    <mergeCell ref="B269:L269"/>
    <mergeCell ref="B270:C270"/>
    <mergeCell ref="D270:J270"/>
    <mergeCell ref="C271:J271"/>
    <mergeCell ref="B272:C272"/>
    <mergeCell ref="D272:L272"/>
    <mergeCell ref="B273:D273"/>
    <mergeCell ref="E273:L273"/>
    <mergeCell ref="D274:L274"/>
    <mergeCell ref="B275:L275"/>
    <mergeCell ref="B276:D276"/>
    <mergeCell ref="C244:L244"/>
    <mergeCell ref="C245:L245"/>
    <mergeCell ref="C246:L246"/>
    <mergeCell ref="B247:L247"/>
    <mergeCell ref="C248:L248"/>
    <mergeCell ref="C249:L249"/>
    <mergeCell ref="C250:L250"/>
    <mergeCell ref="B251:L251"/>
    <mergeCell ref="B252:L252"/>
    <mergeCell ref="C229:E229"/>
    <mergeCell ref="F229:G229"/>
    <mergeCell ref="I229:J229"/>
    <mergeCell ref="B230:J233"/>
    <mergeCell ref="K230:L230"/>
    <mergeCell ref="B236:L236"/>
    <mergeCell ref="C237:L237"/>
    <mergeCell ref="C242:L242"/>
    <mergeCell ref="B243:L243"/>
    <mergeCell ref="C239:L239"/>
    <mergeCell ref="C240:L240"/>
    <mergeCell ref="C238:L238"/>
    <mergeCell ref="E221:F221"/>
    <mergeCell ref="G221:L221"/>
    <mergeCell ref="B222:C222"/>
    <mergeCell ref="D223:D224"/>
    <mergeCell ref="F223:F224"/>
    <mergeCell ref="G223:L223"/>
    <mergeCell ref="G224:L224"/>
    <mergeCell ref="C215:D215"/>
    <mergeCell ref="E215:H215"/>
    <mergeCell ref="C216:D216"/>
    <mergeCell ref="E216:H216"/>
    <mergeCell ref="C217:D217"/>
    <mergeCell ref="E217:H217"/>
    <mergeCell ref="B218:H218"/>
    <mergeCell ref="J218:K218"/>
    <mergeCell ref="B219:K219"/>
    <mergeCell ref="C241:L241"/>
    <mergeCell ref="B225:L225"/>
    <mergeCell ref="C226:E226"/>
    <mergeCell ref="F226:H226"/>
    <mergeCell ref="I226:J226"/>
    <mergeCell ref="C227:E227"/>
    <mergeCell ref="F227:G227"/>
    <mergeCell ref="C207:D207"/>
    <mergeCell ref="E207:K207"/>
    <mergeCell ref="C208:D208"/>
    <mergeCell ref="E208:K208"/>
    <mergeCell ref="B209:K209"/>
    <mergeCell ref="E198:K198"/>
    <mergeCell ref="E199:K199"/>
    <mergeCell ref="B200:K200"/>
    <mergeCell ref="B201:L201"/>
    <mergeCell ref="B202:B203"/>
    <mergeCell ref="C202:D203"/>
    <mergeCell ref="E202:K203"/>
    <mergeCell ref="L202:L203"/>
    <mergeCell ref="C204:D204"/>
    <mergeCell ref="E204:K204"/>
    <mergeCell ref="I227:J227"/>
    <mergeCell ref="C228:E228"/>
    <mergeCell ref="F228:G228"/>
    <mergeCell ref="I228:J228"/>
    <mergeCell ref="B210:K210"/>
    <mergeCell ref="B211:L211"/>
    <mergeCell ref="B212:I212"/>
    <mergeCell ref="J212:L212"/>
    <mergeCell ref="B213:B214"/>
    <mergeCell ref="C213:D214"/>
    <mergeCell ref="E213:H214"/>
    <mergeCell ref="I213:I214"/>
    <mergeCell ref="J213:J214"/>
    <mergeCell ref="K213:K214"/>
    <mergeCell ref="L213:L214"/>
    <mergeCell ref="B220:L220"/>
    <mergeCell ref="B221:D221"/>
    <mergeCell ref="E196:K196"/>
    <mergeCell ref="B197:D197"/>
    <mergeCell ref="E197:K197"/>
    <mergeCell ref="B198:D198"/>
    <mergeCell ref="B199:D199"/>
    <mergeCell ref="B185:D185"/>
    <mergeCell ref="E185:L185"/>
    <mergeCell ref="D186:L186"/>
    <mergeCell ref="B187:L187"/>
    <mergeCell ref="B188:D188"/>
    <mergeCell ref="E188:L188"/>
    <mergeCell ref="C189:L189"/>
    <mergeCell ref="C190:L190"/>
    <mergeCell ref="C191:L191"/>
    <mergeCell ref="C205:D205"/>
    <mergeCell ref="E205:K205"/>
    <mergeCell ref="C206:D206"/>
    <mergeCell ref="E206:K206"/>
    <mergeCell ref="C74:L74"/>
    <mergeCell ref="C67:L67"/>
    <mergeCell ref="C59:E59"/>
    <mergeCell ref="B175:L175"/>
    <mergeCell ref="B60:J63"/>
    <mergeCell ref="K60:L60"/>
    <mergeCell ref="B66:L66"/>
    <mergeCell ref="C57:E57"/>
    <mergeCell ref="C58:E58"/>
    <mergeCell ref="B89:L89"/>
    <mergeCell ref="D92:I92"/>
    <mergeCell ref="D93:I93"/>
    <mergeCell ref="D94:I94"/>
    <mergeCell ref="B95:L95"/>
    <mergeCell ref="B96:C96"/>
    <mergeCell ref="D96:J96"/>
    <mergeCell ref="C97:J97"/>
    <mergeCell ref="B98:C98"/>
    <mergeCell ref="D98:L98"/>
    <mergeCell ref="C75:L75"/>
    <mergeCell ref="C76:L76"/>
    <mergeCell ref="B82:F85"/>
    <mergeCell ref="B86:F86"/>
    <mergeCell ref="B73:L73"/>
    <mergeCell ref="B79:L79"/>
    <mergeCell ref="B80:L80"/>
    <mergeCell ref="B81:L81"/>
    <mergeCell ref="B69:L69"/>
    <mergeCell ref="B77:L77"/>
    <mergeCell ref="B78:L78"/>
    <mergeCell ref="D104:L104"/>
    <mergeCell ref="D105:L105"/>
    <mergeCell ref="E38:K38"/>
    <mergeCell ref="B39:K39"/>
    <mergeCell ref="B40:K40"/>
    <mergeCell ref="L43:L44"/>
    <mergeCell ref="B48:H48"/>
    <mergeCell ref="J48:K48"/>
    <mergeCell ref="B49:K49"/>
    <mergeCell ref="B50:L50"/>
    <mergeCell ref="F56:H56"/>
    <mergeCell ref="I56:J56"/>
    <mergeCell ref="B43:B44"/>
    <mergeCell ref="I43:I44"/>
    <mergeCell ref="J43:J44"/>
    <mergeCell ref="K43:K44"/>
    <mergeCell ref="C43:D44"/>
    <mergeCell ref="C45:D45"/>
    <mergeCell ref="C46:D46"/>
    <mergeCell ref="C47:D47"/>
    <mergeCell ref="C56:E56"/>
    <mergeCell ref="E47:H47"/>
    <mergeCell ref="E43:H44"/>
    <mergeCell ref="E45:H45"/>
    <mergeCell ref="E46:H46"/>
    <mergeCell ref="G51:L51"/>
    <mergeCell ref="G53:L53"/>
    <mergeCell ref="G54:L54"/>
    <mergeCell ref="D53:D54"/>
    <mergeCell ref="F53:F54"/>
    <mergeCell ref="B55:L55"/>
    <mergeCell ref="B26:D26"/>
    <mergeCell ref="B27:D27"/>
    <mergeCell ref="B22:L22"/>
    <mergeCell ref="B23:L23"/>
    <mergeCell ref="B24:D25"/>
    <mergeCell ref="L24:L25"/>
    <mergeCell ref="E26:K26"/>
    <mergeCell ref="E27:K27"/>
    <mergeCell ref="E24:K25"/>
    <mergeCell ref="D16:L16"/>
    <mergeCell ref="B17:L17"/>
    <mergeCell ref="B18:D18"/>
    <mergeCell ref="B5:L5"/>
    <mergeCell ref="B11:L11"/>
    <mergeCell ref="B15:D15"/>
    <mergeCell ref="D12:J12"/>
    <mergeCell ref="C13:J13"/>
    <mergeCell ref="D14:L14"/>
    <mergeCell ref="E15:L15"/>
    <mergeCell ref="B14:C14"/>
    <mergeCell ref="B12:C12"/>
    <mergeCell ref="D9:I9"/>
    <mergeCell ref="D8:I8"/>
    <mergeCell ref="D10:I10"/>
    <mergeCell ref="B31:L31"/>
    <mergeCell ref="E28:K28"/>
    <mergeCell ref="E29:K29"/>
    <mergeCell ref="B30:K30"/>
    <mergeCell ref="B41:L41"/>
    <mergeCell ref="B52:C52"/>
    <mergeCell ref="B51:D51"/>
    <mergeCell ref="E51:F51"/>
    <mergeCell ref="H86:L86"/>
    <mergeCell ref="H82:L85"/>
    <mergeCell ref="C68:L68"/>
    <mergeCell ref="C70:L70"/>
    <mergeCell ref="C71:L71"/>
    <mergeCell ref="C72:L72"/>
    <mergeCell ref="E111:K111"/>
    <mergeCell ref="E112:K112"/>
    <mergeCell ref="B113:K113"/>
    <mergeCell ref="B42:I42"/>
    <mergeCell ref="J42:L42"/>
    <mergeCell ref="C38:D38"/>
    <mergeCell ref="E35:K35"/>
    <mergeCell ref="B32:B33"/>
    <mergeCell ref="L32:L33"/>
    <mergeCell ref="E32:K33"/>
    <mergeCell ref="E34:K34"/>
    <mergeCell ref="C32:D33"/>
    <mergeCell ref="C34:D34"/>
    <mergeCell ref="C35:D35"/>
    <mergeCell ref="C36:D36"/>
    <mergeCell ref="C37:D37"/>
    <mergeCell ref="E36:K36"/>
    <mergeCell ref="E37:K37"/>
    <mergeCell ref="B114:L114"/>
    <mergeCell ref="B115:B116"/>
    <mergeCell ref="C115:D116"/>
    <mergeCell ref="E115:K116"/>
    <mergeCell ref="L115:L116"/>
    <mergeCell ref="B112:D112"/>
    <mergeCell ref="B106:L106"/>
    <mergeCell ref="B107:L107"/>
    <mergeCell ref="B108:D109"/>
    <mergeCell ref="E108:K109"/>
    <mergeCell ref="L108:L109"/>
    <mergeCell ref="B110:D110"/>
    <mergeCell ref="E110:K110"/>
    <mergeCell ref="B99:D99"/>
    <mergeCell ref="E99:L99"/>
    <mergeCell ref="D100:L100"/>
    <mergeCell ref="B101:L101"/>
    <mergeCell ref="B102:D102"/>
    <mergeCell ref="F102:L102"/>
    <mergeCell ref="D103:L103"/>
    <mergeCell ref="C117:D117"/>
    <mergeCell ref="E117:K117"/>
    <mergeCell ref="C118:D118"/>
    <mergeCell ref="E118:K118"/>
    <mergeCell ref="C119:D119"/>
    <mergeCell ref="E119:K119"/>
    <mergeCell ref="C120:D120"/>
    <mergeCell ref="E120:K120"/>
    <mergeCell ref="C121:D121"/>
    <mergeCell ref="E121:K121"/>
    <mergeCell ref="C122:D122"/>
    <mergeCell ref="E122:K122"/>
    <mergeCell ref="C123:D123"/>
    <mergeCell ref="E123:K123"/>
    <mergeCell ref="C124:D124"/>
    <mergeCell ref="E124:K124"/>
    <mergeCell ref="B125:K125"/>
    <mergeCell ref="B126:K126"/>
    <mergeCell ref="B127:L127"/>
    <mergeCell ref="B128:I128"/>
    <mergeCell ref="J128:L128"/>
    <mergeCell ref="B129:B130"/>
    <mergeCell ref="C129:D130"/>
    <mergeCell ref="E129:H130"/>
    <mergeCell ref="I129:I130"/>
    <mergeCell ref="J129:J130"/>
    <mergeCell ref="K129:K130"/>
    <mergeCell ref="L129:L130"/>
    <mergeCell ref="K146:L146"/>
    <mergeCell ref="B166:L166"/>
    <mergeCell ref="B167:L167"/>
    <mergeCell ref="B168:F171"/>
    <mergeCell ref="H168:L171"/>
    <mergeCell ref="B152:L152"/>
    <mergeCell ref="C153:L153"/>
    <mergeCell ref="C154:L154"/>
    <mergeCell ref="B155:L155"/>
    <mergeCell ref="C156:L156"/>
    <mergeCell ref="C157:L157"/>
    <mergeCell ref="C158:L158"/>
    <mergeCell ref="B159:L159"/>
    <mergeCell ref="C160:L160"/>
    <mergeCell ref="C131:D131"/>
    <mergeCell ref="E131:H131"/>
    <mergeCell ref="C132:D132"/>
    <mergeCell ref="E132:H132"/>
    <mergeCell ref="C133:D133"/>
    <mergeCell ref="E133:H133"/>
    <mergeCell ref="B134:H134"/>
    <mergeCell ref="J134:K134"/>
    <mergeCell ref="B135:K135"/>
    <mergeCell ref="B136:L136"/>
    <mergeCell ref="B137:D137"/>
    <mergeCell ref="E137:F137"/>
    <mergeCell ref="G137:L137"/>
    <mergeCell ref="B138:C138"/>
    <mergeCell ref="D139:D140"/>
    <mergeCell ref="F139:F140"/>
    <mergeCell ref="G139:L139"/>
    <mergeCell ref="G140:L140"/>
    <mergeCell ref="B172:F172"/>
    <mergeCell ref="H172:L172"/>
    <mergeCell ref="E18:L18"/>
    <mergeCell ref="C19:L19"/>
    <mergeCell ref="C20:L20"/>
    <mergeCell ref="C21:L21"/>
    <mergeCell ref="B111:D111"/>
    <mergeCell ref="F143:G143"/>
    <mergeCell ref="F144:G144"/>
    <mergeCell ref="F145:G145"/>
    <mergeCell ref="I143:J143"/>
    <mergeCell ref="I144:J144"/>
    <mergeCell ref="I145:J145"/>
    <mergeCell ref="F57:G57"/>
    <mergeCell ref="F58:G58"/>
    <mergeCell ref="F59:G59"/>
    <mergeCell ref="I57:J57"/>
    <mergeCell ref="I58:J58"/>
    <mergeCell ref="I59:J59"/>
    <mergeCell ref="C161:L161"/>
    <mergeCell ref="C162:L162"/>
    <mergeCell ref="B163:L163"/>
    <mergeCell ref="B164:L164"/>
    <mergeCell ref="B165:L165"/>
    <mergeCell ref="B141:L141"/>
    <mergeCell ref="C142:E142"/>
    <mergeCell ref="F142:H142"/>
    <mergeCell ref="I142:J142"/>
    <mergeCell ref="C143:E143"/>
    <mergeCell ref="C144:E144"/>
    <mergeCell ref="C145:E145"/>
    <mergeCell ref="B146:J149"/>
    <mergeCell ref="E276:L276"/>
    <mergeCell ref="C277:L277"/>
    <mergeCell ref="C278:L278"/>
    <mergeCell ref="C279:L279"/>
    <mergeCell ref="B280:L280"/>
    <mergeCell ref="B281:L281"/>
    <mergeCell ref="D178:I178"/>
    <mergeCell ref="D179:I179"/>
    <mergeCell ref="D180:I180"/>
    <mergeCell ref="B181:L181"/>
    <mergeCell ref="B182:C182"/>
    <mergeCell ref="D182:J182"/>
    <mergeCell ref="C183:J183"/>
    <mergeCell ref="B184:C184"/>
    <mergeCell ref="D184:L184"/>
    <mergeCell ref="B192:L192"/>
    <mergeCell ref="B193:L193"/>
    <mergeCell ref="B194:D195"/>
    <mergeCell ref="E194:K195"/>
    <mergeCell ref="L194:L195"/>
    <mergeCell ref="B196:D196"/>
    <mergeCell ref="B282:D283"/>
    <mergeCell ref="E282:K283"/>
    <mergeCell ref="L282:L283"/>
    <mergeCell ref="B284:D284"/>
    <mergeCell ref="E284:K284"/>
    <mergeCell ref="B285:D285"/>
    <mergeCell ref="E285:K285"/>
    <mergeCell ref="B286:D286"/>
    <mergeCell ref="E286:K286"/>
    <mergeCell ref="B287:D287"/>
    <mergeCell ref="E287:K287"/>
    <mergeCell ref="B288:K288"/>
    <mergeCell ref="B289:L289"/>
    <mergeCell ref="B290:B291"/>
    <mergeCell ref="C290:D291"/>
    <mergeCell ref="E290:K291"/>
    <mergeCell ref="L290:L291"/>
    <mergeCell ref="C292:D292"/>
    <mergeCell ref="E292:K292"/>
    <mergeCell ref="C293:D293"/>
    <mergeCell ref="E293:K293"/>
    <mergeCell ref="C294:D294"/>
    <mergeCell ref="E294:K294"/>
    <mergeCell ref="C295:D295"/>
    <mergeCell ref="E295:K295"/>
    <mergeCell ref="C296:D296"/>
    <mergeCell ref="E296:K296"/>
    <mergeCell ref="B297:K297"/>
    <mergeCell ref="B298:K298"/>
    <mergeCell ref="B299:L299"/>
    <mergeCell ref="B300:I300"/>
    <mergeCell ref="J300:L300"/>
    <mergeCell ref="B301:B302"/>
    <mergeCell ref="C301:D302"/>
    <mergeCell ref="E301:H302"/>
    <mergeCell ref="I301:I302"/>
    <mergeCell ref="J301:J302"/>
    <mergeCell ref="K301:K302"/>
    <mergeCell ref="L301:L302"/>
    <mergeCell ref="C303:D303"/>
    <mergeCell ref="E303:H303"/>
    <mergeCell ref="C304:D304"/>
    <mergeCell ref="E304:H304"/>
    <mergeCell ref="C305:D305"/>
    <mergeCell ref="E305:H305"/>
    <mergeCell ref="B306:H306"/>
    <mergeCell ref="J306:K306"/>
    <mergeCell ref="B307:K307"/>
    <mergeCell ref="B308:L308"/>
    <mergeCell ref="B309:D309"/>
    <mergeCell ref="E309:F309"/>
    <mergeCell ref="G309:L309"/>
    <mergeCell ref="B310:C310"/>
    <mergeCell ref="D311:D312"/>
    <mergeCell ref="F311:F312"/>
    <mergeCell ref="G311:L311"/>
    <mergeCell ref="G312:L312"/>
    <mergeCell ref="B313:L313"/>
    <mergeCell ref="C314:E314"/>
    <mergeCell ref="F314:H314"/>
    <mergeCell ref="I314:J314"/>
    <mergeCell ref="C315:E315"/>
    <mergeCell ref="F315:G315"/>
    <mergeCell ref="I315:J315"/>
    <mergeCell ref="C316:E316"/>
    <mergeCell ref="F316:G316"/>
    <mergeCell ref="I316:J316"/>
    <mergeCell ref="C317:E317"/>
    <mergeCell ref="F317:G317"/>
    <mergeCell ref="I317:J317"/>
    <mergeCell ref="B318:J321"/>
    <mergeCell ref="K318:L318"/>
    <mergeCell ref="B324:L324"/>
    <mergeCell ref="C325:L325"/>
    <mergeCell ref="C326:L326"/>
    <mergeCell ref="C327:L327"/>
    <mergeCell ref="B348:F348"/>
    <mergeCell ref="H348:L348"/>
    <mergeCell ref="C330:L330"/>
    <mergeCell ref="B331:L331"/>
    <mergeCell ref="C332:L332"/>
    <mergeCell ref="C333:L333"/>
    <mergeCell ref="C334:L334"/>
    <mergeCell ref="B335:L335"/>
    <mergeCell ref="C336:L336"/>
    <mergeCell ref="C337:L337"/>
    <mergeCell ref="C338:L338"/>
    <mergeCell ref="C328:L328"/>
    <mergeCell ref="C329:L329"/>
    <mergeCell ref="B339:L339"/>
    <mergeCell ref="B340:L340"/>
    <mergeCell ref="B341:L341"/>
    <mergeCell ref="B342:L342"/>
    <mergeCell ref="B343:L343"/>
    <mergeCell ref="B344:F347"/>
    <mergeCell ref="H344:L347"/>
    <mergeCell ref="B440:L440"/>
    <mergeCell ref="D443:I443"/>
    <mergeCell ref="D444:I444"/>
    <mergeCell ref="D445:I445"/>
    <mergeCell ref="B446:L446"/>
    <mergeCell ref="B447:C447"/>
    <mergeCell ref="D447:J447"/>
    <mergeCell ref="C448:J448"/>
    <mergeCell ref="B449:C449"/>
    <mergeCell ref="D449:L449"/>
    <mergeCell ref="B450:D450"/>
    <mergeCell ref="E450:L450"/>
    <mergeCell ref="D451:L451"/>
    <mergeCell ref="B452:L452"/>
    <mergeCell ref="B453:D453"/>
    <mergeCell ref="E453:L453"/>
    <mergeCell ref="C454:L454"/>
    <mergeCell ref="I478:I479"/>
    <mergeCell ref="J478:J479"/>
    <mergeCell ref="K478:K479"/>
    <mergeCell ref="L478:L479"/>
    <mergeCell ref="C480:D480"/>
    <mergeCell ref="E480:H480"/>
    <mergeCell ref="C481:D481"/>
    <mergeCell ref="B467:B468"/>
    <mergeCell ref="C467:D468"/>
    <mergeCell ref="E467:K468"/>
    <mergeCell ref="C455:L455"/>
    <mergeCell ref="C456:L456"/>
    <mergeCell ref="B457:L457"/>
    <mergeCell ref="B458:L458"/>
    <mergeCell ref="B459:D460"/>
    <mergeCell ref="E459:K460"/>
    <mergeCell ref="L459:L460"/>
    <mergeCell ref="B461:D461"/>
    <mergeCell ref="E461:K461"/>
    <mergeCell ref="B462:D462"/>
    <mergeCell ref="E462:K462"/>
    <mergeCell ref="B463:D463"/>
    <mergeCell ref="E463:K463"/>
    <mergeCell ref="B464:D464"/>
    <mergeCell ref="E464:K464"/>
    <mergeCell ref="B465:K465"/>
    <mergeCell ref="B466:L466"/>
    <mergeCell ref="C493:E493"/>
    <mergeCell ref="F493:G493"/>
    <mergeCell ref="I493:J493"/>
    <mergeCell ref="C494:E494"/>
    <mergeCell ref="F494:G494"/>
    <mergeCell ref="I494:J494"/>
    <mergeCell ref="B495:J498"/>
    <mergeCell ref="K495:L495"/>
    <mergeCell ref="B501:L501"/>
    <mergeCell ref="C502:L502"/>
    <mergeCell ref="L467:L468"/>
    <mergeCell ref="C469:D469"/>
    <mergeCell ref="E469:K469"/>
    <mergeCell ref="C470:D470"/>
    <mergeCell ref="E470:K470"/>
    <mergeCell ref="C471:D471"/>
    <mergeCell ref="E471:K471"/>
    <mergeCell ref="C472:D472"/>
    <mergeCell ref="E472:K472"/>
    <mergeCell ref="C473:D473"/>
    <mergeCell ref="E473:K473"/>
    <mergeCell ref="B474:K474"/>
    <mergeCell ref="B475:K475"/>
    <mergeCell ref="B476:L476"/>
    <mergeCell ref="E481:H481"/>
    <mergeCell ref="C482:D482"/>
    <mergeCell ref="E482:H482"/>
    <mergeCell ref="B477:I477"/>
    <mergeCell ref="J477:L477"/>
    <mergeCell ref="B478:B479"/>
    <mergeCell ref="C478:D479"/>
    <mergeCell ref="E478:H479"/>
    <mergeCell ref="B483:H483"/>
    <mergeCell ref="J483:K483"/>
    <mergeCell ref="E486:F486"/>
    <mergeCell ref="G486:L486"/>
    <mergeCell ref="B487:C487"/>
    <mergeCell ref="D488:D489"/>
    <mergeCell ref="F488:F489"/>
    <mergeCell ref="G488:L488"/>
    <mergeCell ref="G489:L489"/>
    <mergeCell ref="B490:L490"/>
    <mergeCell ref="C491:E491"/>
    <mergeCell ref="F491:H491"/>
    <mergeCell ref="I491:J491"/>
    <mergeCell ref="C492:E492"/>
    <mergeCell ref="F492:G492"/>
    <mergeCell ref="I492:J492"/>
    <mergeCell ref="B484:K484"/>
    <mergeCell ref="B485:L485"/>
    <mergeCell ref="B486:D486"/>
    <mergeCell ref="C504:L504"/>
    <mergeCell ref="C505:L505"/>
    <mergeCell ref="B528:F528"/>
    <mergeCell ref="H528:L528"/>
    <mergeCell ref="C503:L503"/>
    <mergeCell ref="C514:L514"/>
    <mergeCell ref="B515:L515"/>
    <mergeCell ref="C516:L516"/>
    <mergeCell ref="C517:L517"/>
    <mergeCell ref="C518:L518"/>
    <mergeCell ref="B519:L519"/>
    <mergeCell ref="B520:L520"/>
    <mergeCell ref="B521:L521"/>
    <mergeCell ref="B522:L522"/>
    <mergeCell ref="C506:L506"/>
    <mergeCell ref="C507:L507"/>
    <mergeCell ref="C508:L508"/>
    <mergeCell ref="C509:L509"/>
    <mergeCell ref="C510:L510"/>
    <mergeCell ref="B511:L511"/>
    <mergeCell ref="C512:L512"/>
    <mergeCell ref="C513:L513"/>
    <mergeCell ref="B523:L523"/>
    <mergeCell ref="B524:F527"/>
    <mergeCell ref="H524:L527"/>
  </mergeCells>
  <hyperlinks>
    <hyperlink ref="D10" r:id="rId1"/>
    <hyperlink ref="D94" r:id="rId2"/>
    <hyperlink ref="D180" r:id="rId3"/>
    <hyperlink ref="D268" r:id="rId4"/>
    <hyperlink ref="D356" r:id="rId5"/>
    <hyperlink ref="D445" r:id="rId6"/>
    <hyperlink ref="D536" r:id="rId7"/>
    <hyperlink ref="D632" r:id="rId8"/>
    <hyperlink ref="D719" r:id="rId9"/>
    <hyperlink ref="D808" r:id="rId10"/>
    <hyperlink ref="D898" r:id="rId11"/>
  </hyperlinks>
  <pageMargins left="0.39370078740157483" right="0.11811023622047245" top="0.78740157480314965" bottom="0.78740157480314965" header="0.31496062992125984" footer="0.31496062992125984"/>
  <pageSetup paperSize="9" scale="81" orientation="portrait" r:id="rId12"/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de Físico Semanal'!$B$2:$B$3</xm:f>
          </x14:formula1>
          <xm:sqref>B941:C942 D941:F942 C945:K947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9" sqref="M29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0"/>
  <sheetViews>
    <sheetView workbookViewId="0">
      <selection activeCell="C25" sqref="C25"/>
    </sheetView>
  </sheetViews>
  <sheetFormatPr defaultRowHeight="12.75" x14ac:dyDescent="0.2"/>
  <cols>
    <col min="2" max="2" width="10.140625" bestFit="1" customWidth="1"/>
    <col min="3" max="3" width="18" bestFit="1" customWidth="1"/>
    <col min="4" max="4" width="9.42578125" bestFit="1" customWidth="1"/>
  </cols>
  <sheetData>
    <row r="3" spans="2:4" x14ac:dyDescent="0.2">
      <c r="B3" s="340" t="s">
        <v>426</v>
      </c>
    </row>
    <row r="4" spans="2:4" x14ac:dyDescent="0.2">
      <c r="B4" s="340" t="s">
        <v>425</v>
      </c>
      <c r="C4" s="340" t="s">
        <v>427</v>
      </c>
      <c r="D4" s="340" t="s">
        <v>429</v>
      </c>
    </row>
    <row r="5" spans="2:4" x14ac:dyDescent="0.2">
      <c r="B5" s="357">
        <v>44669</v>
      </c>
      <c r="C5" s="340" t="s">
        <v>445</v>
      </c>
      <c r="D5" s="340"/>
    </row>
    <row r="6" spans="2:4" x14ac:dyDescent="0.2">
      <c r="B6" s="357">
        <v>44669</v>
      </c>
      <c r="C6" s="340" t="s">
        <v>444</v>
      </c>
      <c r="D6" s="340"/>
    </row>
    <row r="7" spans="2:4" x14ac:dyDescent="0.2">
      <c r="B7" s="144">
        <v>44670</v>
      </c>
      <c r="C7" s="340" t="s">
        <v>428</v>
      </c>
      <c r="D7" s="341">
        <v>200</v>
      </c>
    </row>
    <row r="8" spans="2:4" x14ac:dyDescent="0.2">
      <c r="B8" s="144">
        <v>44670</v>
      </c>
      <c r="C8" s="340" t="s">
        <v>430</v>
      </c>
      <c r="D8" s="341">
        <v>20.5</v>
      </c>
    </row>
    <row r="9" spans="2:4" x14ac:dyDescent="0.2">
      <c r="B9" s="144">
        <v>44670</v>
      </c>
      <c r="C9" s="340" t="s">
        <v>431</v>
      </c>
      <c r="D9" s="341">
        <v>23</v>
      </c>
    </row>
    <row r="10" spans="2:4" x14ac:dyDescent="0.2">
      <c r="B10" s="144">
        <v>44671</v>
      </c>
      <c r="C10" s="340" t="s">
        <v>428</v>
      </c>
      <c r="D10" s="341">
        <v>100</v>
      </c>
    </row>
    <row r="11" spans="2:4" x14ac:dyDescent="0.2">
      <c r="B11" s="144">
        <v>44671</v>
      </c>
      <c r="C11" s="340" t="s">
        <v>430</v>
      </c>
      <c r="D11" s="341">
        <v>19.100000000000001</v>
      </c>
    </row>
    <row r="12" spans="2:4" x14ac:dyDescent="0.2">
      <c r="B12" s="144">
        <v>44671</v>
      </c>
      <c r="C12" s="340" t="s">
        <v>436</v>
      </c>
      <c r="D12" s="341">
        <v>350</v>
      </c>
    </row>
    <row r="13" spans="2:4" x14ac:dyDescent="0.2">
      <c r="B13" s="144">
        <v>44672</v>
      </c>
      <c r="C13" s="340" t="s">
        <v>428</v>
      </c>
      <c r="D13" s="341">
        <v>100</v>
      </c>
    </row>
    <row r="14" spans="2:4" x14ac:dyDescent="0.2">
      <c r="B14" s="144">
        <v>44672</v>
      </c>
      <c r="C14" s="340" t="s">
        <v>428</v>
      </c>
      <c r="D14" s="341">
        <v>50</v>
      </c>
    </row>
    <row r="15" spans="2:4" x14ac:dyDescent="0.2">
      <c r="B15" s="144">
        <v>44672</v>
      </c>
      <c r="C15" s="340" t="s">
        <v>430</v>
      </c>
      <c r="D15" s="341">
        <v>20.5</v>
      </c>
    </row>
    <row r="16" spans="2:4" x14ac:dyDescent="0.2">
      <c r="B16" s="144">
        <v>44673</v>
      </c>
      <c r="C16" s="340" t="s">
        <v>430</v>
      </c>
      <c r="D16" s="341">
        <v>12.6</v>
      </c>
    </row>
    <row r="17" spans="2:4" x14ac:dyDescent="0.2">
      <c r="B17" s="144">
        <v>44673</v>
      </c>
      <c r="C17" s="340" t="s">
        <v>435</v>
      </c>
      <c r="D17" s="341">
        <v>34.26</v>
      </c>
    </row>
    <row r="18" spans="2:4" x14ac:dyDescent="0.2">
      <c r="C18" t="s">
        <v>437</v>
      </c>
      <c r="D18" s="341"/>
    </row>
    <row r="19" spans="2:4" x14ac:dyDescent="0.2">
      <c r="C19" t="s">
        <v>438</v>
      </c>
      <c r="D19" s="341"/>
    </row>
    <row r="20" spans="2:4" x14ac:dyDescent="0.2">
      <c r="C20" t="s">
        <v>439</v>
      </c>
      <c r="D20" s="341"/>
    </row>
    <row r="21" spans="2:4" x14ac:dyDescent="0.2">
      <c r="C21" t="s">
        <v>440</v>
      </c>
      <c r="D21" s="341"/>
    </row>
    <row r="22" spans="2:4" x14ac:dyDescent="0.2">
      <c r="C22" t="s">
        <v>441</v>
      </c>
      <c r="D22" s="341"/>
    </row>
    <row r="23" spans="2:4" x14ac:dyDescent="0.2">
      <c r="C23" t="s">
        <v>442</v>
      </c>
      <c r="D23" s="341"/>
    </row>
    <row r="24" spans="2:4" x14ac:dyDescent="0.2">
      <c r="C24" t="s">
        <v>443</v>
      </c>
      <c r="D24" s="341"/>
    </row>
    <row r="26" spans="2:4" x14ac:dyDescent="0.2">
      <c r="D26" s="341"/>
    </row>
    <row r="27" spans="2:4" x14ac:dyDescent="0.2">
      <c r="D27" s="341"/>
    </row>
    <row r="30" spans="2:4" x14ac:dyDescent="0.2">
      <c r="D30" s="341">
        <f>SUM(D7:D24)</f>
        <v>929.96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indexed="14"/>
    <pageSetUpPr fitToPage="1"/>
  </sheetPr>
  <dimension ref="A1:G100"/>
  <sheetViews>
    <sheetView topLeftCell="A46" zoomScale="90" zoomScaleNormal="90" workbookViewId="0">
      <selection activeCell="E39" sqref="E39"/>
    </sheetView>
  </sheetViews>
  <sheetFormatPr defaultRowHeight="12.75" x14ac:dyDescent="0.2"/>
  <cols>
    <col min="1" max="2" width="9.140625" style="3"/>
    <col min="3" max="3" width="45.140625" style="3" customWidth="1"/>
    <col min="4" max="4" width="15.5703125" style="173" customWidth="1"/>
    <col min="5" max="5" width="7.140625" style="3" bestFit="1" customWidth="1"/>
    <col min="6" max="6" width="15.5703125" style="182" customWidth="1"/>
    <col min="7" max="7" width="22.140625" style="182" bestFit="1" customWidth="1"/>
    <col min="8" max="16384" width="9.140625" style="3"/>
  </cols>
  <sheetData>
    <row r="1" spans="1:7" ht="24" customHeight="1" x14ac:dyDescent="0.2">
      <c r="A1" s="28" t="s">
        <v>299</v>
      </c>
      <c r="B1" s="639" t="s">
        <v>290</v>
      </c>
      <c r="C1" s="639"/>
      <c r="D1" s="639"/>
      <c r="E1" s="639"/>
      <c r="F1" s="639"/>
      <c r="G1" s="639"/>
    </row>
    <row r="2" spans="1:7" ht="10.5" customHeight="1" x14ac:dyDescent="0.2">
      <c r="A2" s="28"/>
      <c r="B2" s="31"/>
      <c r="C2" s="76"/>
      <c r="D2" s="163"/>
      <c r="E2" s="76"/>
      <c r="F2" s="174"/>
      <c r="G2" s="174"/>
    </row>
    <row r="3" spans="1:7" ht="14.25" customHeight="1" thickBot="1" x14ac:dyDescent="0.25">
      <c r="A3" s="28"/>
      <c r="B3" s="33"/>
      <c r="C3" s="75"/>
      <c r="D3" s="164"/>
      <c r="E3" s="29"/>
      <c r="F3" s="174"/>
      <c r="G3" s="174"/>
    </row>
    <row r="4" spans="1:7" ht="17.25" customHeight="1" thickBot="1" x14ac:dyDescent="0.3">
      <c r="A4" s="28"/>
      <c r="B4" s="33" t="s">
        <v>303</v>
      </c>
      <c r="C4" s="30"/>
      <c r="D4" s="164"/>
      <c r="E4" s="642" t="s">
        <v>276</v>
      </c>
      <c r="F4" s="643"/>
      <c r="G4" s="175">
        <f>G7+G14+G20+G25+G38+G40+G42+G46+G50+G54+G56+G58+G60+G62+G65+G72+G74</f>
        <v>2332276.7999999998</v>
      </c>
    </row>
    <row r="5" spans="1:7" ht="24.75" customHeight="1" thickBot="1" x14ac:dyDescent="0.25">
      <c r="A5" s="28"/>
      <c r="B5" s="28"/>
      <c r="D5" s="165"/>
      <c r="E5" s="28"/>
      <c r="F5" s="174"/>
      <c r="G5" s="174"/>
    </row>
    <row r="6" spans="1:7" s="96" customFormat="1" ht="21.75" customHeight="1" thickBot="1" x14ac:dyDescent="0.3">
      <c r="B6" s="97" t="s">
        <v>0</v>
      </c>
      <c r="C6" s="98" t="s">
        <v>271</v>
      </c>
      <c r="D6" s="166" t="s">
        <v>272</v>
      </c>
      <c r="E6" s="99" t="s">
        <v>100</v>
      </c>
      <c r="F6" s="176" t="s">
        <v>228</v>
      </c>
      <c r="G6" s="177" t="s">
        <v>229</v>
      </c>
    </row>
    <row r="7" spans="1:7" ht="15.75" customHeight="1" x14ac:dyDescent="0.2">
      <c r="A7" s="5" t="s">
        <v>2</v>
      </c>
      <c r="B7" s="79" t="s">
        <v>2</v>
      </c>
      <c r="C7" s="80" t="s">
        <v>213</v>
      </c>
      <c r="D7" s="167"/>
      <c r="E7" s="77"/>
      <c r="F7" s="178"/>
      <c r="G7" s="178">
        <f>SUM(G8:G13)</f>
        <v>107000</v>
      </c>
    </row>
    <row r="8" spans="1:7" ht="13.5" customHeight="1" x14ac:dyDescent="0.2">
      <c r="A8" s="6"/>
      <c r="B8" s="81" t="s">
        <v>157</v>
      </c>
      <c r="C8" s="82" t="s">
        <v>152</v>
      </c>
      <c r="D8" s="168">
        <v>1</v>
      </c>
      <c r="E8" s="83" t="s">
        <v>145</v>
      </c>
      <c r="F8" s="179">
        <v>1000</v>
      </c>
      <c r="G8" s="301">
        <f t="shared" ref="G8:G13" si="0">D8*F8</f>
        <v>1000</v>
      </c>
    </row>
    <row r="9" spans="1:7" ht="13.5" customHeight="1" x14ac:dyDescent="0.2">
      <c r="A9" s="6"/>
      <c r="B9" s="84" t="s">
        <v>158</v>
      </c>
      <c r="C9" s="85" t="s">
        <v>153</v>
      </c>
      <c r="D9" s="169">
        <v>1</v>
      </c>
      <c r="E9" s="86" t="s">
        <v>145</v>
      </c>
      <c r="F9" s="179">
        <v>4000</v>
      </c>
      <c r="G9" s="301">
        <f t="shared" si="0"/>
        <v>4000</v>
      </c>
    </row>
    <row r="10" spans="1:7" ht="13.5" customHeight="1" x14ac:dyDescent="0.2">
      <c r="A10" s="6"/>
      <c r="B10" s="84" t="s">
        <v>159</v>
      </c>
      <c r="C10" s="85" t="s">
        <v>154</v>
      </c>
      <c r="D10" s="169">
        <v>1</v>
      </c>
      <c r="E10" s="86" t="s">
        <v>145</v>
      </c>
      <c r="F10" s="179">
        <v>30000</v>
      </c>
      <c r="G10" s="301">
        <f t="shared" si="0"/>
        <v>30000</v>
      </c>
    </row>
    <row r="11" spans="1:7" ht="13.5" customHeight="1" x14ac:dyDescent="0.2">
      <c r="A11" s="6"/>
      <c r="B11" s="84" t="s">
        <v>160</v>
      </c>
      <c r="C11" s="85" t="s">
        <v>299</v>
      </c>
      <c r="D11" s="169">
        <v>1</v>
      </c>
      <c r="E11" s="86" t="s">
        <v>145</v>
      </c>
      <c r="F11" s="179">
        <v>30000</v>
      </c>
      <c r="G11" s="301">
        <f t="shared" si="0"/>
        <v>30000</v>
      </c>
    </row>
    <row r="12" spans="1:7" ht="13.5" customHeight="1" x14ac:dyDescent="0.2">
      <c r="A12" s="6"/>
      <c r="B12" s="84" t="s">
        <v>161</v>
      </c>
      <c r="C12" s="85" t="s">
        <v>155</v>
      </c>
      <c r="D12" s="169">
        <v>1</v>
      </c>
      <c r="E12" s="86" t="s">
        <v>145</v>
      </c>
      <c r="F12" s="179">
        <v>40000</v>
      </c>
      <c r="G12" s="301">
        <f t="shared" si="0"/>
        <v>40000</v>
      </c>
    </row>
    <row r="13" spans="1:7" ht="13.5" customHeight="1" x14ac:dyDescent="0.2">
      <c r="A13" s="6"/>
      <c r="B13" s="87" t="s">
        <v>162</v>
      </c>
      <c r="C13" s="88" t="s">
        <v>156</v>
      </c>
      <c r="D13" s="170">
        <v>50</v>
      </c>
      <c r="E13" s="89" t="s">
        <v>273</v>
      </c>
      <c r="F13" s="179">
        <v>40</v>
      </c>
      <c r="G13" s="301">
        <f t="shared" si="0"/>
        <v>2000</v>
      </c>
    </row>
    <row r="14" spans="1:7" ht="15.75" customHeight="1" x14ac:dyDescent="0.2">
      <c r="A14" s="5" t="s">
        <v>2</v>
      </c>
      <c r="B14" s="90" t="s">
        <v>3</v>
      </c>
      <c r="C14" s="91" t="s">
        <v>214</v>
      </c>
      <c r="D14" s="171"/>
      <c r="E14" s="78"/>
      <c r="F14" s="180"/>
      <c r="G14" s="181">
        <f>SUM(G15:G19)</f>
        <v>9602.2999999999993</v>
      </c>
    </row>
    <row r="15" spans="1:7" ht="13.5" customHeight="1" x14ac:dyDescent="0.2">
      <c r="A15" s="6"/>
      <c r="B15" s="84" t="s">
        <v>182</v>
      </c>
      <c r="C15" s="85" t="s">
        <v>163</v>
      </c>
      <c r="D15" s="169">
        <v>125</v>
      </c>
      <c r="E15" s="86" t="s">
        <v>144</v>
      </c>
      <c r="F15" s="179">
        <v>15.59</v>
      </c>
      <c r="G15" s="301">
        <f>D15*F15</f>
        <v>1948.75</v>
      </c>
    </row>
    <row r="16" spans="1:7" ht="13.5" customHeight="1" x14ac:dyDescent="0.2">
      <c r="A16" s="6"/>
      <c r="B16" s="84" t="s">
        <v>183</v>
      </c>
      <c r="C16" s="85" t="s">
        <v>164</v>
      </c>
      <c r="D16" s="169">
        <v>45</v>
      </c>
      <c r="E16" s="86" t="s">
        <v>144</v>
      </c>
      <c r="F16" s="179">
        <v>79.989999999999995</v>
      </c>
      <c r="G16" s="301">
        <f>D16*F16</f>
        <v>3599.5499999999997</v>
      </c>
    </row>
    <row r="17" spans="1:7" ht="13.5" customHeight="1" x14ac:dyDescent="0.2">
      <c r="A17" s="6"/>
      <c r="B17" s="84" t="s">
        <v>184</v>
      </c>
      <c r="C17" s="85" t="s">
        <v>165</v>
      </c>
      <c r="D17" s="169">
        <v>4.5</v>
      </c>
      <c r="E17" s="86" t="s">
        <v>144</v>
      </c>
      <c r="F17" s="179">
        <v>318</v>
      </c>
      <c r="G17" s="301">
        <f>D17*F17</f>
        <v>1431</v>
      </c>
    </row>
    <row r="18" spans="1:7" ht="13.5" customHeight="1" x14ac:dyDescent="0.2">
      <c r="A18" s="6"/>
      <c r="B18" s="84" t="s">
        <v>185</v>
      </c>
      <c r="C18" s="85" t="s">
        <v>166</v>
      </c>
      <c r="D18" s="169">
        <v>1</v>
      </c>
      <c r="E18" s="86" t="s">
        <v>145</v>
      </c>
      <c r="F18" s="179">
        <v>1900</v>
      </c>
      <c r="G18" s="301">
        <f>D18*F18</f>
        <v>1900</v>
      </c>
    </row>
    <row r="19" spans="1:7" ht="13.5" customHeight="1" x14ac:dyDescent="0.2">
      <c r="A19" s="6"/>
      <c r="B19" s="84" t="s">
        <v>186</v>
      </c>
      <c r="C19" s="85" t="s">
        <v>167</v>
      </c>
      <c r="D19" s="169">
        <v>300</v>
      </c>
      <c r="E19" s="86" t="s">
        <v>144</v>
      </c>
      <c r="F19" s="179">
        <v>2.41</v>
      </c>
      <c r="G19" s="301">
        <f>D19*F19</f>
        <v>723</v>
      </c>
    </row>
    <row r="20" spans="1:7" ht="15.75" customHeight="1" x14ac:dyDescent="0.2">
      <c r="A20" s="5" t="s">
        <v>2</v>
      </c>
      <c r="B20" s="90" t="s">
        <v>4</v>
      </c>
      <c r="C20" s="91" t="s">
        <v>215</v>
      </c>
      <c r="D20" s="171"/>
      <c r="E20" s="78"/>
      <c r="F20" s="180"/>
      <c r="G20" s="181">
        <f>SUM(G21:G24)</f>
        <v>12936</v>
      </c>
    </row>
    <row r="21" spans="1:7" ht="13.5" customHeight="1" x14ac:dyDescent="0.2">
      <c r="A21" s="6"/>
      <c r="B21" s="84" t="s">
        <v>187</v>
      </c>
      <c r="C21" s="85" t="s">
        <v>168</v>
      </c>
      <c r="D21" s="169">
        <v>44</v>
      </c>
      <c r="E21" s="86" t="s">
        <v>148</v>
      </c>
      <c r="F21" s="179">
        <v>40</v>
      </c>
      <c r="G21" s="301">
        <f>D21*F21</f>
        <v>1760</v>
      </c>
    </row>
    <row r="22" spans="1:7" ht="13.5" customHeight="1" x14ac:dyDescent="0.2">
      <c r="A22" s="6" t="s">
        <v>299</v>
      </c>
      <c r="B22" s="84" t="s">
        <v>188</v>
      </c>
      <c r="C22" s="85" t="s">
        <v>170</v>
      </c>
      <c r="D22" s="169">
        <v>4.4000000000000004</v>
      </c>
      <c r="E22" s="86" t="s">
        <v>148</v>
      </c>
      <c r="F22" s="179">
        <v>40</v>
      </c>
      <c r="G22" s="301">
        <f>D22*F22</f>
        <v>176</v>
      </c>
    </row>
    <row r="23" spans="1:7" ht="13.5" customHeight="1" x14ac:dyDescent="0.2">
      <c r="A23" s="6"/>
      <c r="B23" s="84" t="s">
        <v>189</v>
      </c>
      <c r="C23" s="85" t="s">
        <v>171</v>
      </c>
      <c r="D23" s="169">
        <v>1</v>
      </c>
      <c r="E23" s="86" t="s">
        <v>145</v>
      </c>
      <c r="F23" s="179">
        <v>1000</v>
      </c>
      <c r="G23" s="301">
        <f>D23*F23</f>
        <v>1000</v>
      </c>
    </row>
    <row r="24" spans="1:7" ht="13.5" customHeight="1" x14ac:dyDescent="0.2">
      <c r="A24" s="6"/>
      <c r="B24" s="84" t="s">
        <v>190</v>
      </c>
      <c r="C24" s="85" t="s">
        <v>169</v>
      </c>
      <c r="D24" s="169">
        <v>1</v>
      </c>
      <c r="E24" s="86" t="s">
        <v>146</v>
      </c>
      <c r="F24" s="179">
        <v>10000</v>
      </c>
      <c r="G24" s="301">
        <f>D24*F24</f>
        <v>10000</v>
      </c>
    </row>
    <row r="25" spans="1:7" ht="15.75" customHeight="1" x14ac:dyDescent="0.2">
      <c r="A25" s="5" t="s">
        <v>2</v>
      </c>
      <c r="B25" s="90" t="s">
        <v>5</v>
      </c>
      <c r="C25" s="91" t="s">
        <v>216</v>
      </c>
      <c r="D25" s="171"/>
      <c r="E25" s="78"/>
      <c r="F25" s="180"/>
      <c r="G25" s="181">
        <f>SUM(G26:G34)</f>
        <v>189980</v>
      </c>
    </row>
    <row r="26" spans="1:7" ht="13.5" customHeight="1" x14ac:dyDescent="0.2">
      <c r="A26" s="6"/>
      <c r="B26" s="84" t="s">
        <v>198</v>
      </c>
      <c r="C26" s="85" t="s">
        <v>172</v>
      </c>
      <c r="D26" s="169">
        <v>12</v>
      </c>
      <c r="E26" s="86" t="s">
        <v>149</v>
      </c>
      <c r="F26" s="179">
        <v>7000</v>
      </c>
      <c r="G26" s="301">
        <f>D26*F26</f>
        <v>84000</v>
      </c>
    </row>
    <row r="27" spans="1:7" ht="13.5" customHeight="1" x14ac:dyDescent="0.2">
      <c r="A27" s="6"/>
      <c r="B27" s="84" t="s">
        <v>199</v>
      </c>
      <c r="C27" s="85" t="s">
        <v>173</v>
      </c>
      <c r="D27" s="169">
        <v>12</v>
      </c>
      <c r="E27" s="86" t="s">
        <v>149</v>
      </c>
      <c r="F27" s="179">
        <v>5000</v>
      </c>
      <c r="G27" s="301">
        <f t="shared" ref="G27:G49" si="1">D27*F27</f>
        <v>60000</v>
      </c>
    </row>
    <row r="28" spans="1:7" ht="13.5" customHeight="1" x14ac:dyDescent="0.2">
      <c r="A28" s="6"/>
      <c r="B28" s="84" t="s">
        <v>200</v>
      </c>
      <c r="C28" s="85" t="s">
        <v>174</v>
      </c>
      <c r="D28" s="169">
        <v>12</v>
      </c>
      <c r="E28" s="86" t="s">
        <v>149</v>
      </c>
      <c r="F28" s="179">
        <v>800</v>
      </c>
      <c r="G28" s="301">
        <f t="shared" si="1"/>
        <v>9600</v>
      </c>
    </row>
    <row r="29" spans="1:7" ht="13.5" customHeight="1" x14ac:dyDescent="0.2">
      <c r="A29" s="6"/>
      <c r="B29" s="84" t="s">
        <v>201</v>
      </c>
      <c r="C29" s="85" t="s">
        <v>274</v>
      </c>
      <c r="D29" s="169">
        <v>12</v>
      </c>
      <c r="E29" s="86" t="s">
        <v>149</v>
      </c>
      <c r="F29" s="179">
        <v>2200</v>
      </c>
      <c r="G29" s="301">
        <f t="shared" si="1"/>
        <v>26400</v>
      </c>
    </row>
    <row r="30" spans="1:7" ht="13.5" customHeight="1" x14ac:dyDescent="0.2">
      <c r="A30" s="6"/>
      <c r="B30" s="84" t="s">
        <v>202</v>
      </c>
      <c r="C30" s="85" t="s">
        <v>175</v>
      </c>
      <c r="D30" s="169">
        <v>12</v>
      </c>
      <c r="E30" s="86" t="s">
        <v>149</v>
      </c>
      <c r="F30" s="179">
        <v>400</v>
      </c>
      <c r="G30" s="301">
        <f t="shared" si="1"/>
        <v>4800</v>
      </c>
    </row>
    <row r="31" spans="1:7" ht="13.5" customHeight="1" x14ac:dyDescent="0.2">
      <c r="A31" s="6"/>
      <c r="B31" s="84" t="s">
        <v>203</v>
      </c>
      <c r="C31" s="85" t="s">
        <v>176</v>
      </c>
      <c r="D31" s="169">
        <v>12</v>
      </c>
      <c r="E31" s="86" t="s">
        <v>149</v>
      </c>
      <c r="F31" s="179">
        <v>200</v>
      </c>
      <c r="G31" s="301">
        <f t="shared" si="1"/>
        <v>2400</v>
      </c>
    </row>
    <row r="32" spans="1:7" ht="13.5" customHeight="1" x14ac:dyDescent="0.2">
      <c r="A32" s="6"/>
      <c r="B32" s="84" t="s">
        <v>204</v>
      </c>
      <c r="C32" s="85" t="s">
        <v>177</v>
      </c>
      <c r="D32" s="169">
        <v>12</v>
      </c>
      <c r="E32" s="86" t="s">
        <v>149</v>
      </c>
      <c r="F32" s="179">
        <v>40</v>
      </c>
      <c r="G32" s="301">
        <f t="shared" si="1"/>
        <v>480</v>
      </c>
    </row>
    <row r="33" spans="1:7" ht="13.5" customHeight="1" x14ac:dyDescent="0.2">
      <c r="A33" s="6"/>
      <c r="B33" s="84" t="s">
        <v>205</v>
      </c>
      <c r="C33" s="85" t="s">
        <v>178</v>
      </c>
      <c r="D33" s="169">
        <v>1</v>
      </c>
      <c r="E33" s="86" t="s">
        <v>145</v>
      </c>
      <c r="F33" s="179">
        <v>1900</v>
      </c>
      <c r="G33" s="301">
        <f t="shared" si="1"/>
        <v>1900</v>
      </c>
    </row>
    <row r="34" spans="1:7" ht="13.5" customHeight="1" x14ac:dyDescent="0.2">
      <c r="A34" s="6"/>
      <c r="B34" s="84" t="s">
        <v>206</v>
      </c>
      <c r="C34" s="85" t="s">
        <v>179</v>
      </c>
      <c r="D34" s="169">
        <v>1</v>
      </c>
      <c r="E34" s="86" t="s">
        <v>145</v>
      </c>
      <c r="F34" s="179">
        <v>400</v>
      </c>
      <c r="G34" s="301">
        <f t="shared" si="1"/>
        <v>400</v>
      </c>
    </row>
    <row r="35" spans="1:7" ht="13.5" customHeight="1" x14ac:dyDescent="0.2">
      <c r="A35" s="6"/>
      <c r="B35" s="90"/>
      <c r="C35" s="91" t="s">
        <v>410</v>
      </c>
      <c r="D35" s="171"/>
      <c r="E35" s="78"/>
      <c r="F35" s="180"/>
      <c r="G35" s="181"/>
    </row>
    <row r="36" spans="1:7" ht="13.5" customHeight="1" x14ac:dyDescent="0.2">
      <c r="A36" s="6"/>
      <c r="B36" s="304"/>
      <c r="C36" s="305"/>
      <c r="D36" s="306"/>
      <c r="E36" s="307"/>
      <c r="F36" s="308"/>
      <c r="G36" s="309"/>
    </row>
    <row r="37" spans="1:7" ht="13.5" customHeight="1" x14ac:dyDescent="0.2">
      <c r="A37" s="6"/>
      <c r="B37" s="304"/>
      <c r="C37" s="305"/>
      <c r="D37" s="306"/>
      <c r="E37" s="307"/>
      <c r="F37" s="308"/>
      <c r="G37" s="309"/>
    </row>
    <row r="38" spans="1:7" ht="15.75" customHeight="1" x14ac:dyDescent="0.2">
      <c r="A38" s="5" t="s">
        <v>2</v>
      </c>
      <c r="B38" s="90" t="s">
        <v>6</v>
      </c>
      <c r="C38" s="91" t="s">
        <v>217</v>
      </c>
      <c r="D38" s="171"/>
      <c r="E38" s="78"/>
      <c r="F38" s="180"/>
      <c r="G38" s="181">
        <f>SUM(G39)</f>
        <v>8400</v>
      </c>
    </row>
    <row r="39" spans="1:7" ht="13.5" customHeight="1" x14ac:dyDescent="0.2">
      <c r="A39" s="6"/>
      <c r="B39" s="84" t="s">
        <v>191</v>
      </c>
      <c r="C39" s="85" t="s">
        <v>180</v>
      </c>
      <c r="D39" s="169">
        <v>210</v>
      </c>
      <c r="E39" s="86" t="s">
        <v>150</v>
      </c>
      <c r="F39" s="179">
        <v>40</v>
      </c>
      <c r="G39" s="301">
        <f t="shared" si="1"/>
        <v>8400</v>
      </c>
    </row>
    <row r="40" spans="1:7" ht="15.75" customHeight="1" x14ac:dyDescent="0.2">
      <c r="A40" s="5" t="s">
        <v>2</v>
      </c>
      <c r="B40" s="90" t="s">
        <v>7</v>
      </c>
      <c r="C40" s="91" t="s">
        <v>218</v>
      </c>
      <c r="D40" s="171"/>
      <c r="E40" s="78"/>
      <c r="F40" s="180"/>
      <c r="G40" s="181">
        <f>SUM(G41)</f>
        <v>2560</v>
      </c>
    </row>
    <row r="41" spans="1:7" ht="13.5" customHeight="1" x14ac:dyDescent="0.2">
      <c r="A41" s="6"/>
      <c r="B41" s="84" t="s">
        <v>192</v>
      </c>
      <c r="C41" s="85" t="s">
        <v>181</v>
      </c>
      <c r="D41" s="169">
        <v>16</v>
      </c>
      <c r="E41" s="86" t="s">
        <v>145</v>
      </c>
      <c r="F41" s="179">
        <v>160</v>
      </c>
      <c r="G41" s="301">
        <f t="shared" si="1"/>
        <v>2560</v>
      </c>
    </row>
    <row r="42" spans="1:7" ht="15.75" customHeight="1" x14ac:dyDescent="0.2">
      <c r="A42" s="5" t="s">
        <v>2</v>
      </c>
      <c r="B42" s="90" t="s">
        <v>8</v>
      </c>
      <c r="C42" s="91" t="s">
        <v>219</v>
      </c>
      <c r="D42" s="171"/>
      <c r="E42" s="78"/>
      <c r="F42" s="180"/>
      <c r="G42" s="181">
        <f>SUM(G43:G45)</f>
        <v>2818.5</v>
      </c>
    </row>
    <row r="43" spans="1:7" ht="13.5" customHeight="1" x14ac:dyDescent="0.2">
      <c r="A43" s="6"/>
      <c r="B43" s="84" t="s">
        <v>193</v>
      </c>
      <c r="C43" s="85" t="s">
        <v>88</v>
      </c>
      <c r="D43" s="169">
        <v>350</v>
      </c>
      <c r="E43" s="86" t="s">
        <v>144</v>
      </c>
      <c r="F43" s="179">
        <v>2.41</v>
      </c>
      <c r="G43" s="301">
        <f t="shared" si="1"/>
        <v>843.5</v>
      </c>
    </row>
    <row r="44" spans="1:7" ht="13.5" customHeight="1" x14ac:dyDescent="0.2">
      <c r="A44" s="6"/>
      <c r="B44" s="84" t="s">
        <v>207</v>
      </c>
      <c r="C44" s="85" t="s">
        <v>89</v>
      </c>
      <c r="D44" s="169">
        <v>25</v>
      </c>
      <c r="E44" s="86" t="s">
        <v>150</v>
      </c>
      <c r="F44" s="179">
        <v>25</v>
      </c>
      <c r="G44" s="301">
        <f t="shared" si="1"/>
        <v>625</v>
      </c>
    </row>
    <row r="45" spans="1:7" ht="13.5" customHeight="1" x14ac:dyDescent="0.2">
      <c r="A45" s="6"/>
      <c r="B45" s="84" t="s">
        <v>208</v>
      </c>
      <c r="C45" s="85" t="s">
        <v>90</v>
      </c>
      <c r="D45" s="169">
        <v>90</v>
      </c>
      <c r="E45" s="86" t="s">
        <v>144</v>
      </c>
      <c r="F45" s="179">
        <v>15</v>
      </c>
      <c r="G45" s="301">
        <f t="shared" si="1"/>
        <v>1350</v>
      </c>
    </row>
    <row r="46" spans="1:7" ht="15.75" customHeight="1" x14ac:dyDescent="0.2">
      <c r="A46" s="5" t="s">
        <v>2</v>
      </c>
      <c r="B46" s="90" t="s">
        <v>9</v>
      </c>
      <c r="C46" s="91" t="s">
        <v>220</v>
      </c>
      <c r="D46" s="171"/>
      <c r="E46" s="78"/>
      <c r="F46" s="180"/>
      <c r="G46" s="181">
        <f>SUM(G47:G49)</f>
        <v>28550</v>
      </c>
    </row>
    <row r="47" spans="1:7" ht="13.5" customHeight="1" x14ac:dyDescent="0.2">
      <c r="A47" s="6"/>
      <c r="B47" s="84" t="s">
        <v>101</v>
      </c>
      <c r="C47" s="85" t="s">
        <v>26</v>
      </c>
      <c r="D47" s="169">
        <v>25</v>
      </c>
      <c r="E47" s="86" t="s">
        <v>150</v>
      </c>
      <c r="F47" s="179">
        <v>350</v>
      </c>
      <c r="G47" s="301">
        <f t="shared" si="1"/>
        <v>8750</v>
      </c>
    </row>
    <row r="48" spans="1:7" ht="13.5" customHeight="1" x14ac:dyDescent="0.2">
      <c r="A48" s="6"/>
      <c r="B48" s="84" t="s">
        <v>102</v>
      </c>
      <c r="C48" s="85" t="s">
        <v>37</v>
      </c>
      <c r="D48" s="169">
        <v>45</v>
      </c>
      <c r="E48" s="86" t="s">
        <v>144</v>
      </c>
      <c r="F48" s="179">
        <v>40</v>
      </c>
      <c r="G48" s="301">
        <f t="shared" si="1"/>
        <v>1800</v>
      </c>
    </row>
    <row r="49" spans="1:7" ht="13.5" customHeight="1" x14ac:dyDescent="0.2">
      <c r="A49" s="6"/>
      <c r="B49" s="84" t="s">
        <v>103</v>
      </c>
      <c r="C49" s="85" t="s">
        <v>275</v>
      </c>
      <c r="D49" s="169">
        <v>3000</v>
      </c>
      <c r="E49" s="86" t="s">
        <v>151</v>
      </c>
      <c r="F49" s="179">
        <v>6</v>
      </c>
      <c r="G49" s="301">
        <f t="shared" si="1"/>
        <v>18000</v>
      </c>
    </row>
    <row r="50" spans="1:7" ht="15.75" customHeight="1" x14ac:dyDescent="0.2">
      <c r="A50" s="5" t="s">
        <v>2</v>
      </c>
      <c r="B50" s="90" t="s">
        <v>10</v>
      </c>
      <c r="C50" s="91" t="s">
        <v>221</v>
      </c>
      <c r="D50" s="171"/>
      <c r="E50" s="78"/>
      <c r="F50" s="180"/>
      <c r="G50" s="181">
        <f>SUM(G51:G53)</f>
        <v>792500</v>
      </c>
    </row>
    <row r="51" spans="1:7" ht="13.5" customHeight="1" x14ac:dyDescent="0.2">
      <c r="A51" s="6"/>
      <c r="B51" s="84" t="s">
        <v>104</v>
      </c>
      <c r="C51" s="85" t="s">
        <v>26</v>
      </c>
      <c r="D51" s="169">
        <v>750</v>
      </c>
      <c r="E51" s="86" t="s">
        <v>150</v>
      </c>
      <c r="F51" s="179">
        <v>350</v>
      </c>
      <c r="G51" s="301">
        <f>D51*F51</f>
        <v>262500</v>
      </c>
    </row>
    <row r="52" spans="1:7" ht="13.5" customHeight="1" x14ac:dyDescent="0.2">
      <c r="A52" s="6"/>
      <c r="B52" s="84" t="s">
        <v>105</v>
      </c>
      <c r="C52" s="85" t="s">
        <v>37</v>
      </c>
      <c r="D52" s="169">
        <v>2000</v>
      </c>
      <c r="E52" s="86" t="s">
        <v>144</v>
      </c>
      <c r="F52" s="179">
        <v>40</v>
      </c>
      <c r="G52" s="301">
        <f>D52*F52</f>
        <v>80000</v>
      </c>
    </row>
    <row r="53" spans="1:7" ht="13.5" customHeight="1" x14ac:dyDescent="0.2">
      <c r="A53" s="6"/>
      <c r="B53" s="84" t="s">
        <v>106</v>
      </c>
      <c r="C53" s="85" t="s">
        <v>35</v>
      </c>
      <c r="D53" s="169">
        <v>75000</v>
      </c>
      <c r="E53" s="86" t="s">
        <v>151</v>
      </c>
      <c r="F53" s="179">
        <v>6</v>
      </c>
      <c r="G53" s="301">
        <f>D53*F53</f>
        <v>450000</v>
      </c>
    </row>
    <row r="54" spans="1:7" ht="15.75" customHeight="1" x14ac:dyDescent="0.2">
      <c r="A54" s="5" t="s">
        <v>2</v>
      </c>
      <c r="B54" s="90" t="s">
        <v>12</v>
      </c>
      <c r="C54" s="91" t="s">
        <v>222</v>
      </c>
      <c r="D54" s="171"/>
      <c r="E54" s="78"/>
      <c r="F54" s="180"/>
      <c r="G54" s="181">
        <f>SUM(G55)</f>
        <v>92500</v>
      </c>
    </row>
    <row r="55" spans="1:7" ht="13.5" customHeight="1" x14ac:dyDescent="0.2">
      <c r="A55" s="6"/>
      <c r="B55" s="84" t="s">
        <v>107</v>
      </c>
      <c r="C55" s="85" t="s">
        <v>38</v>
      </c>
      <c r="D55" s="169">
        <v>2500</v>
      </c>
      <c r="E55" s="86" t="s">
        <v>144</v>
      </c>
      <c r="F55" s="179">
        <v>37</v>
      </c>
      <c r="G55" s="301">
        <f>D55*F55</f>
        <v>92500</v>
      </c>
    </row>
    <row r="56" spans="1:7" ht="15.75" customHeight="1" x14ac:dyDescent="0.2">
      <c r="A56" s="5" t="s">
        <v>2</v>
      </c>
      <c r="B56" s="90" t="s">
        <v>13</v>
      </c>
      <c r="C56" s="91" t="s">
        <v>223</v>
      </c>
      <c r="D56" s="171"/>
      <c r="E56" s="78"/>
      <c r="F56" s="180"/>
      <c r="G56" s="181">
        <f>SUM(G57:G57)</f>
        <v>62000</v>
      </c>
    </row>
    <row r="57" spans="1:7" ht="13.5" customHeight="1" x14ac:dyDescent="0.2">
      <c r="A57" s="6"/>
      <c r="B57" s="84" t="s">
        <v>108</v>
      </c>
      <c r="C57" s="85" t="s">
        <v>74</v>
      </c>
      <c r="D57" s="169">
        <v>200</v>
      </c>
      <c r="E57" s="86" t="s">
        <v>144</v>
      </c>
      <c r="F57" s="179">
        <v>310</v>
      </c>
      <c r="G57" s="301">
        <f>D57*F57</f>
        <v>62000</v>
      </c>
    </row>
    <row r="58" spans="1:7" ht="15.75" customHeight="1" x14ac:dyDescent="0.2">
      <c r="A58" s="5" t="s">
        <v>2</v>
      </c>
      <c r="B58" s="90" t="s">
        <v>14</v>
      </c>
      <c r="C58" s="91" t="s">
        <v>224</v>
      </c>
      <c r="D58" s="171"/>
      <c r="E58" s="78"/>
      <c r="F58" s="180"/>
      <c r="G58" s="181">
        <f>SUM(G59:G59)</f>
        <v>17192</v>
      </c>
    </row>
    <row r="59" spans="1:7" ht="13.5" customHeight="1" x14ac:dyDescent="0.2">
      <c r="A59" s="6"/>
      <c r="B59" s="84" t="s">
        <v>110</v>
      </c>
      <c r="C59" s="85" t="s">
        <v>69</v>
      </c>
      <c r="D59" s="169">
        <v>800</v>
      </c>
      <c r="E59" s="86" t="s">
        <v>144</v>
      </c>
      <c r="F59" s="179">
        <v>21.49</v>
      </c>
      <c r="G59" s="301">
        <f>D59*F59</f>
        <v>17192</v>
      </c>
    </row>
    <row r="60" spans="1:7" ht="15.75" customHeight="1" x14ac:dyDescent="0.2">
      <c r="A60" s="5" t="s">
        <v>2</v>
      </c>
      <c r="B60" s="90" t="s">
        <v>16</v>
      </c>
      <c r="C60" s="91" t="s">
        <v>279</v>
      </c>
      <c r="D60" s="171"/>
      <c r="E60" s="78"/>
      <c r="F60" s="180"/>
      <c r="G60" s="181">
        <f>SUM(G61)</f>
        <v>18828</v>
      </c>
    </row>
    <row r="61" spans="1:7" ht="13.5" customHeight="1" x14ac:dyDescent="0.2">
      <c r="A61" s="6"/>
      <c r="B61" s="84" t="s">
        <v>112</v>
      </c>
      <c r="C61" s="85" t="s">
        <v>68</v>
      </c>
      <c r="D61" s="169">
        <v>1200</v>
      </c>
      <c r="E61" s="86" t="s">
        <v>144</v>
      </c>
      <c r="F61" s="179">
        <v>15.69</v>
      </c>
      <c r="G61" s="301">
        <f>D61*F61</f>
        <v>18828</v>
      </c>
    </row>
    <row r="62" spans="1:7" ht="15.75" customHeight="1" x14ac:dyDescent="0.2">
      <c r="A62" s="5" t="s">
        <v>2</v>
      </c>
      <c r="B62" s="90" t="s">
        <v>17</v>
      </c>
      <c r="C62" s="91" t="s">
        <v>226</v>
      </c>
      <c r="D62" s="171"/>
      <c r="E62" s="78"/>
      <c r="F62" s="180"/>
      <c r="G62" s="181">
        <f>SUM(G63:G64)</f>
        <v>41510</v>
      </c>
    </row>
    <row r="63" spans="1:7" ht="13.5" customHeight="1" x14ac:dyDescent="0.2">
      <c r="A63" s="6"/>
      <c r="B63" s="84" t="s">
        <v>115</v>
      </c>
      <c r="C63" s="85" t="s">
        <v>39</v>
      </c>
      <c r="D63" s="169">
        <v>3100</v>
      </c>
      <c r="E63" s="86" t="s">
        <v>144</v>
      </c>
      <c r="F63" s="179">
        <v>12</v>
      </c>
      <c r="G63" s="301">
        <f>D63*F63</f>
        <v>37200</v>
      </c>
    </row>
    <row r="64" spans="1:7" ht="13.5" customHeight="1" x14ac:dyDescent="0.2">
      <c r="A64" s="6"/>
      <c r="B64" s="84" t="s">
        <v>116</v>
      </c>
      <c r="C64" s="85" t="s">
        <v>260</v>
      </c>
      <c r="D64" s="169">
        <v>1000</v>
      </c>
      <c r="E64" s="86" t="s">
        <v>147</v>
      </c>
      <c r="F64" s="179">
        <v>4.3099999999999996</v>
      </c>
      <c r="G64" s="301">
        <f>D64*F64</f>
        <v>4310</v>
      </c>
    </row>
    <row r="65" spans="1:7" ht="15.75" customHeight="1" x14ac:dyDescent="0.2">
      <c r="A65" s="5" t="s">
        <v>2</v>
      </c>
      <c r="B65" s="90" t="s">
        <v>20</v>
      </c>
      <c r="C65" s="91" t="s">
        <v>227</v>
      </c>
      <c r="D65" s="171"/>
      <c r="E65" s="78"/>
      <c r="F65" s="180"/>
      <c r="G65" s="181">
        <f>SUM(G66:G71)</f>
        <v>880000</v>
      </c>
    </row>
    <row r="66" spans="1:7" ht="13.5" customHeight="1" x14ac:dyDescent="0.2">
      <c r="A66" s="6"/>
      <c r="B66" s="84" t="s">
        <v>134</v>
      </c>
      <c r="C66" s="85" t="s">
        <v>94</v>
      </c>
      <c r="D66" s="169">
        <v>1</v>
      </c>
      <c r="E66" s="86" t="s">
        <v>145</v>
      </c>
      <c r="F66" s="179">
        <v>280000</v>
      </c>
      <c r="G66" s="301">
        <f t="shared" ref="G66:G77" si="2">D66*F66</f>
        <v>280000</v>
      </c>
    </row>
    <row r="67" spans="1:7" ht="13.5" customHeight="1" x14ac:dyDescent="0.2">
      <c r="A67" s="6"/>
      <c r="B67" s="84" t="s">
        <v>135</v>
      </c>
      <c r="C67" s="85" t="s">
        <v>95</v>
      </c>
      <c r="D67" s="169">
        <v>1</v>
      </c>
      <c r="E67" s="86" t="s">
        <v>145</v>
      </c>
      <c r="F67" s="179">
        <v>35000</v>
      </c>
      <c r="G67" s="301">
        <f t="shared" si="2"/>
        <v>35000</v>
      </c>
    </row>
    <row r="68" spans="1:7" ht="13.5" customHeight="1" x14ac:dyDescent="0.2">
      <c r="A68" s="6"/>
      <c r="B68" s="84" t="s">
        <v>136</v>
      </c>
      <c r="C68" s="85" t="s">
        <v>96</v>
      </c>
      <c r="D68" s="169">
        <v>1</v>
      </c>
      <c r="E68" s="86" t="s">
        <v>145</v>
      </c>
      <c r="F68" s="179">
        <v>15000</v>
      </c>
      <c r="G68" s="301">
        <f t="shared" si="2"/>
        <v>15000</v>
      </c>
    </row>
    <row r="69" spans="1:7" ht="13.5" customHeight="1" x14ac:dyDescent="0.2">
      <c r="A69" s="6"/>
      <c r="B69" s="84" t="s">
        <v>137</v>
      </c>
      <c r="C69" s="85" t="s">
        <v>97</v>
      </c>
      <c r="D69" s="169">
        <v>1</v>
      </c>
      <c r="E69" s="86" t="s">
        <v>145</v>
      </c>
      <c r="F69" s="179">
        <v>350000</v>
      </c>
      <c r="G69" s="301">
        <f t="shared" si="2"/>
        <v>350000</v>
      </c>
    </row>
    <row r="70" spans="1:7" ht="13.5" customHeight="1" x14ac:dyDescent="0.2">
      <c r="A70" s="6"/>
      <c r="B70" s="84" t="s">
        <v>138</v>
      </c>
      <c r="C70" s="85" t="s">
        <v>98</v>
      </c>
      <c r="D70" s="169">
        <v>1</v>
      </c>
      <c r="E70" s="86" t="s">
        <v>145</v>
      </c>
      <c r="F70" s="179">
        <v>50000</v>
      </c>
      <c r="G70" s="301">
        <f t="shared" si="2"/>
        <v>50000</v>
      </c>
    </row>
    <row r="71" spans="1:7" ht="13.5" customHeight="1" x14ac:dyDescent="0.2">
      <c r="A71" s="6"/>
      <c r="B71" s="84" t="s">
        <v>139</v>
      </c>
      <c r="C71" s="85" t="s">
        <v>99</v>
      </c>
      <c r="D71" s="169">
        <v>1</v>
      </c>
      <c r="E71" s="86" t="s">
        <v>145</v>
      </c>
      <c r="F71" s="179">
        <v>150000</v>
      </c>
      <c r="G71" s="301">
        <f t="shared" si="2"/>
        <v>150000</v>
      </c>
    </row>
    <row r="72" spans="1:7" ht="15.75" customHeight="1" x14ac:dyDescent="0.2">
      <c r="A72" s="5" t="s">
        <v>2</v>
      </c>
      <c r="B72" s="90" t="s">
        <v>296</v>
      </c>
      <c r="C72" s="91" t="s">
        <v>297</v>
      </c>
      <c r="D72" s="171"/>
      <c r="E72" s="78"/>
      <c r="F72" s="180"/>
      <c r="G72" s="181">
        <f>SUM(G73)</f>
        <v>40000</v>
      </c>
    </row>
    <row r="73" spans="1:7" ht="13.5" customHeight="1" x14ac:dyDescent="0.2">
      <c r="A73" s="6"/>
      <c r="B73" s="84" t="s">
        <v>298</v>
      </c>
      <c r="C73" s="85" t="s">
        <v>91</v>
      </c>
      <c r="D73" s="169">
        <v>2</v>
      </c>
      <c r="E73" s="86" t="s">
        <v>146</v>
      </c>
      <c r="F73" s="179">
        <v>20000</v>
      </c>
      <c r="G73" s="301">
        <f t="shared" si="2"/>
        <v>40000</v>
      </c>
    </row>
    <row r="74" spans="1:7" ht="15.75" customHeight="1" x14ac:dyDescent="0.2">
      <c r="A74" s="5" t="s">
        <v>2</v>
      </c>
      <c r="B74" s="90" t="s">
        <v>22</v>
      </c>
      <c r="C74" s="91" t="s">
        <v>212</v>
      </c>
      <c r="D74" s="171"/>
      <c r="E74" s="78"/>
      <c r="F74" s="180"/>
      <c r="G74" s="181">
        <f>SUM(G75:G77)</f>
        <v>25900</v>
      </c>
    </row>
    <row r="75" spans="1:7" ht="13.5" customHeight="1" x14ac:dyDescent="0.2">
      <c r="A75" s="6"/>
      <c r="B75" s="84" t="s">
        <v>141</v>
      </c>
      <c r="C75" s="85" t="s">
        <v>92</v>
      </c>
      <c r="D75" s="169">
        <v>1</v>
      </c>
      <c r="E75" s="86" t="s">
        <v>145</v>
      </c>
      <c r="F75" s="179">
        <v>1000</v>
      </c>
      <c r="G75" s="301">
        <f t="shared" si="2"/>
        <v>1000</v>
      </c>
    </row>
    <row r="76" spans="1:7" ht="13.5" customHeight="1" x14ac:dyDescent="0.2">
      <c r="A76" s="6"/>
      <c r="B76" s="84" t="s">
        <v>142</v>
      </c>
      <c r="C76" s="85" t="s">
        <v>291</v>
      </c>
      <c r="D76" s="169">
        <v>1</v>
      </c>
      <c r="E76" s="86" t="s">
        <v>145</v>
      </c>
      <c r="F76" s="179">
        <v>20000</v>
      </c>
      <c r="G76" s="301">
        <f t="shared" si="2"/>
        <v>20000</v>
      </c>
    </row>
    <row r="77" spans="1:7" ht="13.5" customHeight="1" x14ac:dyDescent="0.2">
      <c r="A77" s="6"/>
      <c r="B77" s="84" t="s">
        <v>143</v>
      </c>
      <c r="C77" s="85" t="s">
        <v>93</v>
      </c>
      <c r="D77" s="169">
        <v>1</v>
      </c>
      <c r="E77" s="86" t="s">
        <v>145</v>
      </c>
      <c r="F77" s="179">
        <v>4900</v>
      </c>
      <c r="G77" s="301">
        <f t="shared" si="2"/>
        <v>4900</v>
      </c>
    </row>
    <row r="78" spans="1:7" x14ac:dyDescent="0.2">
      <c r="D78" s="172"/>
    </row>
    <row r="79" spans="1:7" ht="14.25" x14ac:dyDescent="0.2">
      <c r="D79" s="172"/>
      <c r="E79" s="12" t="s">
        <v>2</v>
      </c>
      <c r="F79" s="183"/>
      <c r="G79" s="183"/>
    </row>
    <row r="80" spans="1:7" x14ac:dyDescent="0.2">
      <c r="D80" s="172"/>
    </row>
    <row r="81" spans="2:4" x14ac:dyDescent="0.2">
      <c r="D81" s="172"/>
    </row>
    <row r="82" spans="2:4" x14ac:dyDescent="0.2">
      <c r="B82" s="27"/>
      <c r="C82" s="26"/>
      <c r="D82" s="172"/>
    </row>
    <row r="83" spans="2:4" x14ac:dyDescent="0.2">
      <c r="D83" s="172"/>
    </row>
    <row r="84" spans="2:4" x14ac:dyDescent="0.2">
      <c r="D84" s="172"/>
    </row>
    <row r="85" spans="2:4" x14ac:dyDescent="0.2">
      <c r="D85" s="172"/>
    </row>
    <row r="86" spans="2:4" x14ac:dyDescent="0.2">
      <c r="D86" s="172"/>
    </row>
    <row r="87" spans="2:4" x14ac:dyDescent="0.2">
      <c r="D87" s="172"/>
    </row>
    <row r="88" spans="2:4" x14ac:dyDescent="0.2">
      <c r="D88" s="172"/>
    </row>
    <row r="89" spans="2:4" x14ac:dyDescent="0.2">
      <c r="D89" s="172"/>
    </row>
    <row r="90" spans="2:4" x14ac:dyDescent="0.2">
      <c r="D90" s="172"/>
    </row>
    <row r="91" spans="2:4" x14ac:dyDescent="0.2">
      <c r="D91" s="172"/>
    </row>
    <row r="92" spans="2:4" x14ac:dyDescent="0.2">
      <c r="D92" s="172"/>
    </row>
    <row r="93" spans="2:4" x14ac:dyDescent="0.2">
      <c r="D93" s="172"/>
    </row>
    <row r="94" spans="2:4" x14ac:dyDescent="0.2">
      <c r="D94" s="172"/>
    </row>
    <row r="95" spans="2:4" x14ac:dyDescent="0.2">
      <c r="D95" s="172"/>
    </row>
    <row r="96" spans="2:4" x14ac:dyDescent="0.2">
      <c r="D96" s="172"/>
    </row>
    <row r="97" spans="4:4" x14ac:dyDescent="0.2">
      <c r="D97" s="172"/>
    </row>
    <row r="98" spans="4:4" x14ac:dyDescent="0.2">
      <c r="D98" s="172"/>
    </row>
    <row r="99" spans="4:4" x14ac:dyDescent="0.2">
      <c r="D99" s="172"/>
    </row>
    <row r="100" spans="4:4" x14ac:dyDescent="0.2">
      <c r="D100" s="172"/>
    </row>
  </sheetData>
  <mergeCells count="2">
    <mergeCell ref="B1:G1"/>
    <mergeCell ref="E4:F4"/>
  </mergeCells>
  <phoneticPr fontId="4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scale="76" fitToHeight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R167"/>
  <sheetViews>
    <sheetView zoomScale="60" zoomScaleNormal="6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G27" sqref="G27"/>
    </sheetView>
  </sheetViews>
  <sheetFormatPr defaultRowHeight="12.75" x14ac:dyDescent="0.2"/>
  <cols>
    <col min="1" max="1" width="9.140625" style="1"/>
    <col min="2" max="2" width="7.5703125" style="1" customWidth="1"/>
    <col min="3" max="3" width="42.42578125" style="1" bestFit="1" customWidth="1"/>
    <col min="4" max="4" width="12.28515625" style="1" customWidth="1"/>
    <col min="5" max="8" width="17.5703125" style="1" customWidth="1"/>
    <col min="9" max="9" width="17.7109375" style="1" customWidth="1"/>
    <col min="10" max="10" width="16.85546875" style="1" bestFit="1" customWidth="1"/>
    <col min="11" max="11" width="16.5703125" style="1" bestFit="1" customWidth="1"/>
    <col min="12" max="13" width="17.7109375" style="1" bestFit="1" customWidth="1"/>
    <col min="14" max="16" width="18" style="1" bestFit="1" customWidth="1"/>
    <col min="17" max="20" width="17.5703125" style="1" bestFit="1" customWidth="1"/>
    <col min="21" max="21" width="16.5703125" style="1" bestFit="1" customWidth="1"/>
    <col min="22" max="22" width="16.85546875" style="1" bestFit="1" customWidth="1"/>
    <col min="23" max="24" width="16.5703125" style="1" bestFit="1" customWidth="1"/>
    <col min="25" max="43" width="11.5703125" style="1" bestFit="1" customWidth="1"/>
    <col min="44" max="44" width="19.7109375" style="1" bestFit="1" customWidth="1"/>
    <col min="45" max="16384" width="9.140625" style="1"/>
  </cols>
  <sheetData>
    <row r="1" spans="1:44" ht="40.5" customHeight="1" x14ac:dyDescent="0.2">
      <c r="A1" s="28"/>
      <c r="B1" s="647" t="s">
        <v>230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7"/>
      <c r="V1" s="647"/>
      <c r="W1" s="647"/>
      <c r="X1" s="647"/>
      <c r="Y1" s="647"/>
      <c r="Z1" s="647"/>
    </row>
    <row r="2" spans="1:44" ht="9.75" customHeight="1" x14ac:dyDescent="0.2">
      <c r="A2" s="28"/>
      <c r="B2" s="92"/>
      <c r="C2" s="93"/>
      <c r="D2" s="93"/>
      <c r="E2" s="93"/>
      <c r="F2" s="93"/>
      <c r="G2" s="93"/>
      <c r="H2" s="93"/>
      <c r="I2" s="134"/>
      <c r="J2" s="134"/>
      <c r="K2" s="134"/>
      <c r="L2" s="134"/>
      <c r="M2" s="134"/>
      <c r="N2" s="134"/>
      <c r="O2" s="134"/>
      <c r="P2" s="134"/>
    </row>
    <row r="3" spans="1:44" ht="14.25" customHeight="1" x14ac:dyDescent="0.2">
      <c r="A3" s="28"/>
      <c r="B3" s="33" t="s">
        <v>280</v>
      </c>
      <c r="C3" s="75"/>
      <c r="D3" s="75"/>
      <c r="E3" s="75" t="str">
        <f>IF(AR9=100%,"Finalizado",IF(AR9=0%,"Não iniciado","Em andamento"))</f>
        <v>Em andamento</v>
      </c>
      <c r="F3" s="75"/>
      <c r="G3" s="75"/>
      <c r="H3" s="75"/>
      <c r="I3" s="134"/>
      <c r="J3" s="134"/>
      <c r="K3" s="134"/>
      <c r="L3" s="134"/>
      <c r="M3" s="134"/>
      <c r="N3" s="134"/>
      <c r="O3" s="134"/>
      <c r="P3" s="134"/>
    </row>
    <row r="4" spans="1:44" ht="14.25" customHeight="1" x14ac:dyDescent="0.2">
      <c r="A4" s="28"/>
      <c r="B4" s="33" t="str">
        <f>ORÇAMENTO!B4</f>
        <v xml:space="preserve">PRAZO DA OBRA: 16 meses </v>
      </c>
      <c r="C4" s="30"/>
      <c r="D4" s="30"/>
      <c r="E4" s="30"/>
      <c r="F4" s="30"/>
      <c r="G4" s="30"/>
      <c r="H4" s="30"/>
      <c r="I4" s="134">
        <v>0</v>
      </c>
      <c r="K4" s="134"/>
      <c r="L4" s="134"/>
      <c r="M4" s="134"/>
      <c r="N4" s="134"/>
      <c r="O4" s="134"/>
      <c r="P4" s="134"/>
    </row>
    <row r="5" spans="1:44" ht="12.75" customHeight="1" x14ac:dyDescent="0.2">
      <c r="A5" s="28"/>
      <c r="B5" s="28"/>
      <c r="C5" s="32"/>
      <c r="D5" s="32"/>
      <c r="E5" s="32"/>
      <c r="F5" s="32"/>
      <c r="G5" s="32"/>
      <c r="H5" s="32"/>
      <c r="I5" s="140">
        <f>IF(COUNTIF(I9:I42,"&gt;0"),1+0," ")</f>
        <v>1</v>
      </c>
      <c r="J5" s="140">
        <f>IF(AND(COUNTIF(J9:J42,"&gt;0"),I5&gt;0),1+I5,IF(I5&lt;0,COUNT($I$5:J5)+J5," "))</f>
        <v>2</v>
      </c>
      <c r="K5" s="140">
        <f>IF(AND(COUNTIF(K9:K42,"&gt;0"),J5&gt;0),1+J5,IF(J5&lt;0,COUNT($I$5:K5)+K5," "))</f>
        <v>3</v>
      </c>
      <c r="L5" s="140">
        <f>IF(AND(COUNTIF(L9:L42,"&gt;0"),K5&gt;0),1+K5,IF(K5&lt;0,COUNT($I$5:L5)+L5," "))</f>
        <v>4</v>
      </c>
      <c r="M5" s="140">
        <f>IF(AND(COUNTIF(M9:M42,"&gt;0"),L5&gt;0),1+L5,IF(L5&lt;0,COUNT($I$5:M5)+M5," "))</f>
        <v>5</v>
      </c>
      <c r="N5" s="140">
        <f>IF(AND(COUNTIF(N9:N42,"&gt;0"),M5&gt;0),1+M5,IF(M5&lt;0,COUNT($I$5:N5)+N5," "))</f>
        <v>6</v>
      </c>
      <c r="O5" s="140">
        <f>IF(AND(COUNTIF(O9:O42,"&gt;0"),N5&gt;0),1+N5,IF(N5&lt;0,COUNT($I$5:O5)+O5," "))</f>
        <v>7</v>
      </c>
      <c r="P5" s="140">
        <f>IF(AND(COUNTIF(P9:P42,"&gt;0"),O5&gt;0),1+O5,IF(O5&lt;0,COUNT($I$5:P5)+P5," "))</f>
        <v>8</v>
      </c>
      <c r="Q5" s="140">
        <f>IF(AND(COUNTIF(Q9:Q42,"&gt;0"),P5&gt;0),1+P5,IF(P5&lt;0,COUNT($I$5:Q5)+Q5," "))</f>
        <v>9</v>
      </c>
      <c r="R5" s="140">
        <f>IF(AND(COUNTIF(R9:R42,"&gt;0"),Q5&gt;0),1+Q5,IF(Q5&lt;0,COUNT($I$5:R5)+R5," "))</f>
        <v>10</v>
      </c>
      <c r="S5" s="140">
        <f>IF(AND(COUNTIF(S9:S42,"&gt;0"),R5&gt;0),1+R5,IF(R5&lt;0,COUNT($I$5:S5)+S5," "))</f>
        <v>11</v>
      </c>
      <c r="T5" s="140">
        <f>IF(AND(COUNTIF(T9:T42,"&gt;0"),S5&gt;0),1+S5,IF(S5&lt;0,COUNT($I$5:T5)+T5," "))</f>
        <v>12</v>
      </c>
      <c r="U5" s="140">
        <f>IF(AND(COUNTIF(U9:U42,"&gt;0"),T5&gt;0),1+T5,IF(T5&lt;0,COUNT($I$5:U5)+U5," "))</f>
        <v>13</v>
      </c>
      <c r="V5" s="140">
        <f>IF(AND(COUNTIF(V9:V42,"&gt;0"),U5&gt;0),1+U5,IF(U5&lt;0,COUNT($I$5:V5)+V5," "))</f>
        <v>14</v>
      </c>
      <c r="W5" s="140">
        <f>IF(AND(COUNTIF(W9:W42,"&gt;0"),V5&gt;0),1+V5,IF(V5&lt;0,COUNT($I$5:W5)+W5," "))</f>
        <v>15</v>
      </c>
      <c r="X5" s="140">
        <f>IF(AND(COUNTIF(X9:X42,"&gt;0"),W5&gt;0),1+W5,IF(W5&lt;0,COUNT($I$5:X5)+X5," "))</f>
        <v>16</v>
      </c>
      <c r="Y5" s="140" t="str">
        <f>IF(AND(COUNTIF(Y9:Y42,"&gt;0"),X5&gt;0),1+X5,IF(X5&lt;0,COUNT($I$5:Y5)+Y5," "))</f>
        <v xml:space="preserve"> </v>
      </c>
      <c r="Z5" s="140" t="str">
        <f>IF(AND(COUNTIF(Z9:Z42,"&gt;0"),Y5&gt;0),1+Y5,IF(Y5&lt;0,COUNT($I$5:Z5)+Z5," "))</f>
        <v xml:space="preserve"> </v>
      </c>
      <c r="AA5" s="140" t="str">
        <f>IF(AND(COUNTIF(AA9:AA42,"&gt;0"),Z5&gt;0),1+Z5,IF(Z5&lt;0,COUNT($I$5:AA5)+AA5," "))</f>
        <v xml:space="preserve"> </v>
      </c>
      <c r="AB5" s="140" t="str">
        <f>IF(AND(COUNTIF(AB9:AB42,"&gt;0"),AA5&gt;0),1+AA5,IF(AA5&lt;0,COUNT($I$5:AB5)+AB5," "))</f>
        <v xml:space="preserve"> </v>
      </c>
      <c r="AC5" s="140" t="str">
        <f>IF(AND(COUNTIF(AC9:AC42,"&gt;0"),AB5&gt;0),1+AB5,IF(AB5&lt;0,COUNT($I$5:AC5)+AC5," "))</f>
        <v xml:space="preserve"> </v>
      </c>
      <c r="AD5" s="140" t="str">
        <f>IF(AND(COUNTIF(AD9:AD42,"&gt;0"),AC5&gt;0),1+AC5,IF(AC5&lt;0,COUNT($I$5:AD5)+AD5," "))</f>
        <v xml:space="preserve"> </v>
      </c>
      <c r="AE5" s="140" t="e">
        <f>IF(AND(COUNTIF(AE9:AE42,"&gt;0"),AD5&gt;0),1+AD5,IF(AD5="",COUNT($I$5:AD5)," "))</f>
        <v>#VALUE!</v>
      </c>
      <c r="AF5" s="140" t="e">
        <f>IF(AND(COUNTIF(AF9:AF42,"&gt;0"),AE5&gt;0),1+AE5,IF(AE5&lt;0,COUNT($I$5:AF5)+AF5," "))</f>
        <v>#VALUE!</v>
      </c>
      <c r="AG5" s="140" t="e">
        <f>IF(AND(COUNTIF(AG9:AG42,"&gt;0"),AF5&gt;0),1+AF5,IF(AF5&lt;0,COUNT($I$5:AG5)+AG5," "))</f>
        <v>#VALUE!</v>
      </c>
      <c r="AH5" s="140" t="e">
        <f>IF(AND(COUNTIF(AH9:AH42,"&gt;0"),AG5&gt;0),1+AG5,IF(AG5&lt;0,COUNT($I$5:AH5)+AH5," "))</f>
        <v>#VALUE!</v>
      </c>
      <c r="AI5" s="140" t="e">
        <f>IF(AND(COUNTIF(AI9:AI42,"&gt;0"),AH5&gt;0),1+AH5,IF(AH5&lt;0,COUNT($I$5:AI5)+AI5," "))</f>
        <v>#VALUE!</v>
      </c>
      <c r="AJ5" s="140" t="e">
        <f>IF(AND(COUNTIF(AJ9:AJ42,"&gt;0"),AI5&gt;0),1+AI5,IF(AI5&lt;0,COUNT($I$5:AJ5)+AJ5," "))</f>
        <v>#VALUE!</v>
      </c>
      <c r="AK5" s="140" t="e">
        <f>IF(AND(COUNTIF(AK9:AK42,"&gt;0"),AJ5&gt;0),1+AJ5,IF(AJ5&lt;0,COUNT($I$5:AK5)+AK5," "))</f>
        <v>#VALUE!</v>
      </c>
      <c r="AL5" s="140" t="e">
        <f>IF(AND(COUNTIF(AL9:AL42,"&gt;0"),AK5&gt;0),1+AK5,IF(AK5&lt;0,COUNT($I$5:AL5)+AL5," "))</f>
        <v>#VALUE!</v>
      </c>
      <c r="AM5" s="140" t="e">
        <f>IF(AND(COUNTIF(AM9:AM42,"&gt;0"),AL5&gt;0),1+AL5,IF(AL5&lt;0,COUNT($I$5:AM5)+AM5," "))</f>
        <v>#VALUE!</v>
      </c>
      <c r="AN5" s="140" t="e">
        <f>IF(AND(COUNTIF(AN9:AN42,"&gt;0"),AM5&gt;0),1+AM5,IF(AM5&lt;0,COUNT($I$5:AN5)+AN5," "))</f>
        <v>#VALUE!</v>
      </c>
      <c r="AO5" s="140" t="e">
        <f>IF(AND(COUNTIF(AO9:AO42,"&gt;0"),AN5&gt;0),1+AN5,IF(AN5&lt;0,COUNT($I$5:AO5)+AO5," "))</f>
        <v>#VALUE!</v>
      </c>
      <c r="AP5" s="140" t="e">
        <f>IF(AND(COUNTIF(AP9:AP42,"&gt;0"),AO5&gt;0),1+AO5,IF(AO5&lt;0,COUNT($I$5:AP5)+AP5," "))</f>
        <v>#VALUE!</v>
      </c>
      <c r="AQ5" s="140" t="e">
        <f>IF(AND(COUNTIF(AQ9:AQ42,"&gt;0"),AP5&gt;0),1+AP5,IF(AP5&lt;0,COUNT($I$5:AQ5)+AQ5," "))</f>
        <v>#VALUE!</v>
      </c>
    </row>
    <row r="6" spans="1:44" ht="17.25" customHeight="1" x14ac:dyDescent="0.2">
      <c r="B6" s="7" t="s">
        <v>313</v>
      </c>
      <c r="C6" s="209">
        <f>'FÍSICO SEMANAL'!B7</f>
        <v>44670</v>
      </c>
      <c r="I6" s="644">
        <f>I7</f>
        <v>44670</v>
      </c>
      <c r="J6" s="645"/>
      <c r="K6" s="645"/>
      <c r="L6" s="645"/>
      <c r="M6" s="645"/>
      <c r="N6" s="645"/>
      <c r="O6" s="646"/>
      <c r="P6" s="644">
        <f ca="1">P7</f>
        <v>44751</v>
      </c>
      <c r="Q6" s="645"/>
      <c r="R6" s="645"/>
      <c r="S6" s="645"/>
      <c r="T6" s="645"/>
      <c r="U6" s="645"/>
      <c r="V6" s="646"/>
      <c r="W6" s="644">
        <f ca="1">W7</f>
        <v>44751</v>
      </c>
      <c r="X6" s="645"/>
      <c r="Y6" s="645"/>
      <c r="Z6" s="645"/>
      <c r="AA6" s="645"/>
      <c r="AB6" s="645"/>
      <c r="AC6" s="646"/>
      <c r="AD6" s="644">
        <f ca="1">AD7</f>
        <v>44751</v>
      </c>
      <c r="AE6" s="645"/>
      <c r="AF6" s="645"/>
      <c r="AG6" s="645"/>
      <c r="AH6" s="645"/>
      <c r="AI6" s="645"/>
      <c r="AJ6" s="646"/>
      <c r="AK6" s="644">
        <f ca="1">AK7</f>
        <v>44751</v>
      </c>
      <c r="AL6" s="645"/>
      <c r="AM6" s="645"/>
      <c r="AN6" s="645"/>
      <c r="AO6" s="645"/>
      <c r="AP6" s="645"/>
      <c r="AQ6" s="646"/>
    </row>
    <row r="7" spans="1:44" ht="18" customHeight="1" x14ac:dyDescent="0.2">
      <c r="B7" s="94" t="s">
        <v>0</v>
      </c>
      <c r="C7" s="95" t="s">
        <v>277</v>
      </c>
      <c r="D7" s="95"/>
      <c r="E7" s="95" t="s">
        <v>304</v>
      </c>
      <c r="F7" s="95" t="s">
        <v>307</v>
      </c>
      <c r="G7" s="95" t="s">
        <v>308</v>
      </c>
      <c r="H7" s="95" t="s">
        <v>310</v>
      </c>
      <c r="I7" s="208">
        <f>C6+I4</f>
        <v>44670</v>
      </c>
      <c r="J7" s="208">
        <f>I7+1</f>
        <v>44671</v>
      </c>
      <c r="K7" s="208">
        <f t="shared" ref="K7:O7" si="0">J7+1</f>
        <v>44672</v>
      </c>
      <c r="L7" s="208">
        <f t="shared" si="0"/>
        <v>44673</v>
      </c>
      <c r="M7" s="208">
        <f t="shared" si="0"/>
        <v>44674</v>
      </c>
      <c r="N7" s="208">
        <f t="shared" si="0"/>
        <v>44675</v>
      </c>
      <c r="O7" s="208">
        <f t="shared" si="0"/>
        <v>44676</v>
      </c>
      <c r="P7" s="208">
        <f ca="1">TODAY()</f>
        <v>44751</v>
      </c>
      <c r="Q7" s="208">
        <f ca="1">P7+1</f>
        <v>44752</v>
      </c>
      <c r="R7" s="208">
        <f t="shared" ref="R7:V7" ca="1" si="1">Q7+1</f>
        <v>44753</v>
      </c>
      <c r="S7" s="208">
        <f t="shared" ca="1" si="1"/>
        <v>44754</v>
      </c>
      <c r="T7" s="208">
        <f t="shared" ca="1" si="1"/>
        <v>44755</v>
      </c>
      <c r="U7" s="208">
        <f t="shared" ca="1" si="1"/>
        <v>44756</v>
      </c>
      <c r="V7" s="208">
        <f t="shared" ca="1" si="1"/>
        <v>44757</v>
      </c>
      <c r="W7" s="208">
        <f ca="1">TODAY()</f>
        <v>44751</v>
      </c>
      <c r="X7" s="208">
        <f ca="1">W7+1</f>
        <v>44752</v>
      </c>
      <c r="Y7" s="208">
        <f t="shared" ref="Y7:AC7" ca="1" si="2">X7+1</f>
        <v>44753</v>
      </c>
      <c r="Z7" s="208">
        <f t="shared" ca="1" si="2"/>
        <v>44754</v>
      </c>
      <c r="AA7" s="208">
        <f t="shared" ca="1" si="2"/>
        <v>44755</v>
      </c>
      <c r="AB7" s="208">
        <f t="shared" ca="1" si="2"/>
        <v>44756</v>
      </c>
      <c r="AC7" s="208">
        <f t="shared" ca="1" si="2"/>
        <v>44757</v>
      </c>
      <c r="AD7" s="208">
        <f ca="1">TODAY()</f>
        <v>44751</v>
      </c>
      <c r="AE7" s="208">
        <f ca="1">AD7+1</f>
        <v>44752</v>
      </c>
      <c r="AF7" s="208">
        <f t="shared" ref="AF7:AJ7" ca="1" si="3">AE7+1</f>
        <v>44753</v>
      </c>
      <c r="AG7" s="208">
        <f t="shared" ca="1" si="3"/>
        <v>44754</v>
      </c>
      <c r="AH7" s="208">
        <f t="shared" ca="1" si="3"/>
        <v>44755</v>
      </c>
      <c r="AI7" s="208">
        <f t="shared" ca="1" si="3"/>
        <v>44756</v>
      </c>
      <c r="AJ7" s="208">
        <f t="shared" ca="1" si="3"/>
        <v>44757</v>
      </c>
      <c r="AK7" s="208">
        <f ca="1">TODAY()</f>
        <v>44751</v>
      </c>
      <c r="AL7" s="208">
        <f ca="1">AK7+1</f>
        <v>44752</v>
      </c>
      <c r="AM7" s="208">
        <f t="shared" ref="AM7:AQ7" ca="1" si="4">AL7+1</f>
        <v>44753</v>
      </c>
      <c r="AN7" s="208">
        <f t="shared" ca="1" si="4"/>
        <v>44754</v>
      </c>
      <c r="AO7" s="208">
        <f t="shared" ca="1" si="4"/>
        <v>44755</v>
      </c>
      <c r="AP7" s="208">
        <f t="shared" ca="1" si="4"/>
        <v>44756</v>
      </c>
      <c r="AQ7" s="208">
        <f t="shared" ca="1" si="4"/>
        <v>44757</v>
      </c>
    </row>
    <row r="8" spans="1:44" ht="6.75" customHeight="1" x14ac:dyDescent="0.2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109"/>
    </row>
    <row r="9" spans="1:44" ht="14.25" customHeight="1" x14ac:dyDescent="0.2">
      <c r="A9" s="11" t="s">
        <v>194</v>
      </c>
      <c r="B9" s="108" t="s">
        <v>2</v>
      </c>
      <c r="C9" s="108" t="str">
        <f>VLOOKUP(B9,ORÇAMENTO!B7:G86,2,0)</f>
        <v>SERVIÇOS TÉCNICOS</v>
      </c>
      <c r="D9" s="108"/>
      <c r="E9" s="648"/>
      <c r="F9" s="143"/>
      <c r="G9" s="143"/>
      <c r="H9" s="143"/>
      <c r="I9" s="130">
        <f>IFERROR(IF($E$9="Não iniciado","",IF(I10="","",I10/ORÇAMENTO!$G$7)),"")</f>
        <v>1.0841121495327102</v>
      </c>
      <c r="J9" s="130" t="str">
        <f>IFERROR(IF(J10="","",J10/ORÇAMENTO!$G$7),"")</f>
        <v/>
      </c>
      <c r="K9" s="130" t="str">
        <f>IFERROR(IF(K10="","",K10/ORÇAMENTO!$G$7),"")</f>
        <v/>
      </c>
      <c r="L9" s="130" t="str">
        <f>IFERROR(IF(L10="","",L10/ORÇAMENTO!$G$7),"")</f>
        <v/>
      </c>
      <c r="M9" s="130" t="str">
        <f>IFERROR(IF(M10="","",M10/ORÇAMENTO!$G$7),"")</f>
        <v/>
      </c>
      <c r="N9" s="130" t="str">
        <f>IFERROR(IF(N10="","",N10/ORÇAMENTO!$G$7),"")</f>
        <v/>
      </c>
      <c r="O9" s="130" t="str">
        <f>IFERROR(IF(O10="","",O10/ORÇAMENTO!$G$7),"")</f>
        <v/>
      </c>
      <c r="P9" s="130" t="str">
        <f>IFERROR(IF(P10="","",P10/ORÇAMENTO!$G$7),"")</f>
        <v/>
      </c>
      <c r="Q9" s="130" t="str">
        <f>IFERROR(IF(Q10="","",Q10/ORÇAMENTO!$G$7),"")</f>
        <v/>
      </c>
      <c r="R9" s="130" t="str">
        <f>IFERROR(IF(R10="","",R10/ORÇAMENTO!$G$7),"")</f>
        <v/>
      </c>
      <c r="S9" s="130" t="str">
        <f>IFERROR(IF(S10="","",S10/ORÇAMENTO!$G$7),"")</f>
        <v/>
      </c>
      <c r="T9" s="130" t="str">
        <f>IFERROR(IF(T10="","",T10/ORÇAMENTO!$G$7),"")</f>
        <v/>
      </c>
      <c r="U9" s="130" t="str">
        <f>IFERROR(IF(U10="","",U10/ORÇAMENTO!$G$7),"")</f>
        <v/>
      </c>
      <c r="V9" s="130" t="str">
        <f>IFERROR(IF(V10="","",V10/ORÇAMENTO!$G$7),"")</f>
        <v/>
      </c>
      <c r="W9" s="130" t="str">
        <f>IFERROR(IF(W10="","",W10/ORÇAMENTO!$G$7),"")</f>
        <v/>
      </c>
      <c r="X9" s="130" t="str">
        <f>IFERROR(IF(X10="","",X10/ORÇAMENTO!$G$7),"")</f>
        <v/>
      </c>
      <c r="Y9" s="130" t="str">
        <f>IFERROR(IF(Y10="","",Y10/ORÇAMENTO!$G$7),"")</f>
        <v/>
      </c>
      <c r="Z9" s="130" t="str">
        <f>IFERROR(IF(Z10="","",Z10/ORÇAMENTO!$G$7),"")</f>
        <v/>
      </c>
      <c r="AA9" s="130" t="str">
        <f>IFERROR(IF(AA10="","",AA10/ORÇAMENTO!$G$7),"")</f>
        <v/>
      </c>
      <c r="AB9" s="130" t="str">
        <f>IFERROR(IF(AB10="","",AB10/ORÇAMENTO!$G$7),"")</f>
        <v/>
      </c>
      <c r="AC9" s="130" t="str">
        <f>IFERROR(IF(AC10="","",AC10/ORÇAMENTO!$G$7),"")</f>
        <v/>
      </c>
      <c r="AD9" s="130" t="str">
        <f>IFERROR(IF(AD10="","",AD10/ORÇAMENTO!$G$7),"")</f>
        <v/>
      </c>
      <c r="AE9" s="130" t="str">
        <f>IFERROR(IF(AE10="","",AE10/ORÇAMENTO!$G$7),"")</f>
        <v/>
      </c>
      <c r="AF9" s="130" t="str">
        <f>IFERROR(IF(AF10="","",AF10/ORÇAMENTO!$G$7),"")</f>
        <v/>
      </c>
      <c r="AG9" s="130" t="str">
        <f>IFERROR(IF(AG10="","",AG10/ORÇAMENTO!$G$7),"")</f>
        <v/>
      </c>
      <c r="AH9" s="130" t="str">
        <f>IFERROR(IF(AH10="","",AH10/ORÇAMENTO!$G$7),"")</f>
        <v/>
      </c>
      <c r="AI9" s="130" t="str">
        <f>IFERROR(IF(AI10="","",AI10/ORÇAMENTO!$G$7),"")</f>
        <v/>
      </c>
      <c r="AJ9" s="130" t="str">
        <f>IFERROR(IF(AJ10="","",AJ10/ORÇAMENTO!$G$7),"")</f>
        <v/>
      </c>
      <c r="AK9" s="130" t="str">
        <f>IFERROR(IF(AK10="","",AK10/ORÇAMENTO!$G$7),"")</f>
        <v/>
      </c>
      <c r="AL9" s="130" t="str">
        <f>IFERROR(IF(AL10="","",AL10/ORÇAMENTO!$G$7),"")</f>
        <v/>
      </c>
      <c r="AM9" s="130" t="str">
        <f>IFERROR(IF(AM10="","",AM10/ORÇAMENTO!$G$7),"")</f>
        <v/>
      </c>
      <c r="AN9" s="130" t="str">
        <f>IFERROR(IF(AN10="","",AN10/ORÇAMENTO!$G$7),"")</f>
        <v/>
      </c>
      <c r="AO9" s="130" t="str">
        <f>IFERROR(IF(AO10="","",AO10/ORÇAMENTO!$G$7),"")</f>
        <v/>
      </c>
      <c r="AP9" s="130" t="str">
        <f>IFERROR(IF(AP10="","",AP10/ORÇAMENTO!$G$7),"")</f>
        <v/>
      </c>
      <c r="AQ9" s="130" t="str">
        <f>IFERROR(IF(AQ10="","",AQ10/ORÇAMENTO!$G$7),"")</f>
        <v/>
      </c>
      <c r="AR9" s="110">
        <f t="shared" ref="AR9:AR42" si="5">SUM(I9:Y9)</f>
        <v>1.0841121495327102</v>
      </c>
    </row>
    <row r="10" spans="1:44" ht="14.25" customHeight="1" x14ac:dyDescent="0.2">
      <c r="A10" s="11" t="s">
        <v>195</v>
      </c>
      <c r="B10" s="79"/>
      <c r="C10" s="79" t="s">
        <v>285</v>
      </c>
      <c r="D10" s="79"/>
      <c r="E10" s="649"/>
      <c r="F10" s="143"/>
      <c r="G10" s="143"/>
      <c r="H10" s="143"/>
      <c r="I10" s="135">
        <v>116000</v>
      </c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11">
        <f t="shared" si="5"/>
        <v>116000</v>
      </c>
    </row>
    <row r="11" spans="1:44" ht="14.25" customHeight="1" x14ac:dyDescent="0.2">
      <c r="A11" s="11" t="s">
        <v>194</v>
      </c>
      <c r="B11" s="108" t="s">
        <v>3</v>
      </c>
      <c r="C11" s="115" t="str">
        <f>VLOOKUP(B11,ORÇAMENTO!B9:G88,2,0)</f>
        <v>INSTALAÇÕES PROVISÓRIAS</v>
      </c>
      <c r="D11" s="115"/>
      <c r="E11" s="648" t="s">
        <v>305</v>
      </c>
      <c r="F11" s="143"/>
      <c r="G11" s="143"/>
      <c r="H11" s="143"/>
      <c r="I11" s="130">
        <f>IFERROR(IF(I12="","",I12/ORÇAMENTO!$G$14)," ")</f>
        <v>1</v>
      </c>
      <c r="J11" s="130" t="str">
        <f>IFERROR(IF(J12="","",J12/ORÇAMENTO!$G$14)," ")</f>
        <v/>
      </c>
      <c r="K11" s="130" t="str">
        <f>IFERROR(IF(K12="","",K12/ORÇAMENTO!$G$14)," ")</f>
        <v/>
      </c>
      <c r="L11" s="130" t="str">
        <f>IFERROR(IF(L12="","",L12/ORÇAMENTO!$G$14)," ")</f>
        <v/>
      </c>
      <c r="M11" s="130" t="str">
        <f>IFERROR(IF(M12="","",M12/ORÇAMENTO!$G$14)," ")</f>
        <v/>
      </c>
      <c r="N11" s="130" t="str">
        <f>IFERROR(IF(N12="","",N12/ORÇAMENTO!$G$14)," ")</f>
        <v/>
      </c>
      <c r="O11" s="130" t="str">
        <f>IFERROR(IF(O12="","",O12/ORÇAMENTO!$G$14)," ")</f>
        <v/>
      </c>
      <c r="P11" s="130" t="str">
        <f>IFERROR(IF(P12="","",P12/ORÇAMENTO!$G$14)," ")</f>
        <v/>
      </c>
      <c r="Q11" s="130" t="str">
        <f>IFERROR(IF(Q12="","",Q12/ORÇAMENTO!$G$14)," ")</f>
        <v/>
      </c>
      <c r="R11" s="130" t="str">
        <f>IFERROR(IF(R12="","",R12/ORÇAMENTO!$G$14)," ")</f>
        <v/>
      </c>
      <c r="S11" s="130" t="str">
        <f>IFERROR(IF(S12="","",S12/ORÇAMENTO!$G$14)," ")</f>
        <v/>
      </c>
      <c r="T11" s="130" t="str">
        <f>IFERROR(IF(T12="","",T12/ORÇAMENTO!$G$14)," ")</f>
        <v/>
      </c>
      <c r="U11" s="130" t="str">
        <f>IFERROR(IF(U12="","",U12/ORÇAMENTO!$G$14)," ")</f>
        <v/>
      </c>
      <c r="V11" s="130" t="str">
        <f>IFERROR(IF(V12="","",V12/ORÇAMENTO!$G$14)," ")</f>
        <v/>
      </c>
      <c r="W11" s="130" t="str">
        <f>IFERROR(IF(W12="","",W12/ORÇAMENTO!$G$14)," ")</f>
        <v/>
      </c>
      <c r="X11" s="130" t="str">
        <f>IFERROR(IF(X12="","",X12/ORÇAMENTO!$G$14)," ")</f>
        <v/>
      </c>
      <c r="Y11" s="130" t="str">
        <f>IFERROR(IF(Y12="","",Y12/ORÇAMENTO!$G$14)," ")</f>
        <v/>
      </c>
      <c r="Z11" s="130" t="str">
        <f>IFERROR(IF(Z12="","",Z12/ORÇAMENTO!$G$14)," ")</f>
        <v/>
      </c>
      <c r="AA11" s="130" t="str">
        <f>IFERROR(IF(AA12="","",AA12/ORÇAMENTO!$G$14)," ")</f>
        <v/>
      </c>
      <c r="AB11" s="130" t="str">
        <f>IFERROR(IF(AB12="","",AB12/ORÇAMENTO!$G$14)," ")</f>
        <v/>
      </c>
      <c r="AC11" s="130" t="str">
        <f>IFERROR(IF(AC12="","",AC12/ORÇAMENTO!$G$14)," ")</f>
        <v/>
      </c>
      <c r="AD11" s="130" t="str">
        <f>IFERROR(IF(AD12="","",AD12/ORÇAMENTO!$G$14)," ")</f>
        <v/>
      </c>
      <c r="AE11" s="130" t="str">
        <f>IFERROR(IF(AE12="","",AE12/ORÇAMENTO!$G$14)," ")</f>
        <v/>
      </c>
      <c r="AF11" s="130" t="str">
        <f>IFERROR(IF(AF12="","",AF12/ORÇAMENTO!$G$14)," ")</f>
        <v/>
      </c>
      <c r="AG11" s="130" t="str">
        <f>IFERROR(IF(AG12="","",AG12/ORÇAMENTO!$G$14)," ")</f>
        <v/>
      </c>
      <c r="AH11" s="130" t="str">
        <f>IFERROR(IF(AH12="","",AH12/ORÇAMENTO!$G$14)," ")</f>
        <v/>
      </c>
      <c r="AI11" s="130" t="str">
        <f>IFERROR(IF(AI12="","",AI12/ORÇAMENTO!$G$14)," ")</f>
        <v/>
      </c>
      <c r="AJ11" s="130" t="str">
        <f>IFERROR(IF(AJ12="","",AJ12/ORÇAMENTO!$G$14)," ")</f>
        <v/>
      </c>
      <c r="AK11" s="130" t="str">
        <f>IFERROR(IF(AK12="","",AK12/ORÇAMENTO!$G$14)," ")</f>
        <v/>
      </c>
      <c r="AL11" s="130" t="str">
        <f>IFERROR(IF(AL12="","",AL12/ORÇAMENTO!$G$14)," ")</f>
        <v/>
      </c>
      <c r="AM11" s="130" t="str">
        <f>IFERROR(IF(AM12="","",AM12/ORÇAMENTO!$G$14)," ")</f>
        <v/>
      </c>
      <c r="AN11" s="130" t="str">
        <f>IFERROR(IF(AN12="","",AN12/ORÇAMENTO!$G$14)," ")</f>
        <v/>
      </c>
      <c r="AO11" s="130" t="str">
        <f>IFERROR(IF(AO12="","",AO12/ORÇAMENTO!$G$14)," ")</f>
        <v/>
      </c>
      <c r="AP11" s="130" t="str">
        <f>IFERROR(IF(AP12="","",AP12/ORÇAMENTO!$G$14)," ")</f>
        <v/>
      </c>
      <c r="AQ11" s="130" t="str">
        <f>IFERROR(IF(AQ12="","",AQ12/ORÇAMENTO!$G$14)," ")</f>
        <v/>
      </c>
      <c r="AR11" s="110">
        <f t="shared" si="5"/>
        <v>1</v>
      </c>
    </row>
    <row r="12" spans="1:44" ht="14.25" customHeight="1" x14ac:dyDescent="0.2">
      <c r="A12" s="11" t="s">
        <v>195</v>
      </c>
      <c r="B12" s="79"/>
      <c r="C12" s="79" t="s">
        <v>285</v>
      </c>
      <c r="D12" s="79"/>
      <c r="E12" s="649"/>
      <c r="F12" s="143"/>
      <c r="G12" s="143"/>
      <c r="H12" s="143"/>
      <c r="I12" s="135">
        <v>9602.2999999999993</v>
      </c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11">
        <f t="shared" si="5"/>
        <v>9602.2999999999993</v>
      </c>
    </row>
    <row r="13" spans="1:44" ht="14.25" customHeight="1" x14ac:dyDescent="0.2">
      <c r="A13" s="11" t="s">
        <v>194</v>
      </c>
      <c r="B13" s="108" t="s">
        <v>4</v>
      </c>
      <c r="C13" s="108" t="str">
        <f>VLOOKUP(B13,ORÇAMENTO!B11:G90,2,0)</f>
        <v>EQUIPAMENTOS</v>
      </c>
      <c r="D13" s="108"/>
      <c r="E13" s="648" t="s">
        <v>306</v>
      </c>
      <c r="F13" s="143"/>
      <c r="G13" s="143"/>
      <c r="H13" s="143"/>
      <c r="I13" s="128">
        <f>IFERROR(IF(I14="","",I14/ORÇAMENTO!$G$20)," ")</f>
        <v>0.5</v>
      </c>
      <c r="J13" s="128">
        <f>IFERROR(IF(J14="","",J14/ORÇAMENTO!$G$20)," ")</f>
        <v>0.5</v>
      </c>
      <c r="K13" s="128" t="str">
        <f>IFERROR(IF(K14="","",K14/ORÇAMENTO!$G$20)," ")</f>
        <v/>
      </c>
      <c r="L13" s="128" t="str">
        <f>IFERROR(IF(L14="","",L14/ORÇAMENTO!$G$20)," ")</f>
        <v/>
      </c>
      <c r="M13" s="128" t="str">
        <f>IFERROR(IF(M14="","",M14/ORÇAMENTO!$G$20)," ")</f>
        <v/>
      </c>
      <c r="N13" s="128" t="str">
        <f>IFERROR(IF(N14="","",N14/ORÇAMENTO!$G$20)," ")</f>
        <v/>
      </c>
      <c r="O13" s="128" t="str">
        <f>IFERROR(IF(O14="","",O14/ORÇAMENTO!$G$20)," ")</f>
        <v/>
      </c>
      <c r="P13" s="128" t="str">
        <f>IFERROR(IF(P14="","",P14/ORÇAMENTO!$G$20)," ")</f>
        <v/>
      </c>
      <c r="Q13" s="128" t="str">
        <f>IFERROR(IF(Q14="","",Q14/ORÇAMENTO!$G$20)," ")</f>
        <v/>
      </c>
      <c r="R13" s="128" t="str">
        <f>IFERROR(IF(R14="","",R14/ORÇAMENTO!$G$20)," ")</f>
        <v/>
      </c>
      <c r="S13" s="128" t="str">
        <f>IFERROR(IF(S14="","",S14/ORÇAMENTO!$G$20)," ")</f>
        <v/>
      </c>
      <c r="T13" s="128" t="str">
        <f>IFERROR(IF(T14="","",T14/ORÇAMENTO!$G$20)," ")</f>
        <v/>
      </c>
      <c r="U13" s="128" t="str">
        <f>IFERROR(IF(U14="","",U14/ORÇAMENTO!$G$20)," ")</f>
        <v/>
      </c>
      <c r="V13" s="128" t="str">
        <f>IFERROR(IF(V14="","",V14/ORÇAMENTO!$G$20)," ")</f>
        <v/>
      </c>
      <c r="W13" s="128" t="str">
        <f>IFERROR(IF(W14="","",W14/ORÇAMENTO!$G$20)," ")</f>
        <v/>
      </c>
      <c r="X13" s="128" t="str">
        <f>IFERROR(IF(X14="","",X14/ORÇAMENTO!$G$20)," ")</f>
        <v/>
      </c>
      <c r="Y13" s="128" t="str">
        <f>IFERROR(IF(Y14="","",Y14/ORÇAMENTO!$G$20)," ")</f>
        <v/>
      </c>
      <c r="Z13" s="128" t="str">
        <f>IFERROR(IF(Z14="","",Z14/ORÇAMENTO!$G$20)," ")</f>
        <v/>
      </c>
      <c r="AA13" s="128" t="str">
        <f>IFERROR(IF(AA14="","",AA14/ORÇAMENTO!$G$20)," ")</f>
        <v/>
      </c>
      <c r="AB13" s="128" t="str">
        <f>IFERROR(IF(AB14="","",AB14/ORÇAMENTO!$G$20)," ")</f>
        <v/>
      </c>
      <c r="AC13" s="128" t="str">
        <f>IFERROR(IF(AC14="","",AC14/ORÇAMENTO!$G$20)," ")</f>
        <v/>
      </c>
      <c r="AD13" s="128" t="str">
        <f>IFERROR(IF(AD14="","",AD14/ORÇAMENTO!$G$20)," ")</f>
        <v/>
      </c>
      <c r="AE13" s="128" t="str">
        <f>IFERROR(IF(AE14="","",AE14/ORÇAMENTO!$G$20)," ")</f>
        <v/>
      </c>
      <c r="AF13" s="128" t="str">
        <f>IFERROR(IF(AF14="","",AF14/ORÇAMENTO!$G$20)," ")</f>
        <v/>
      </c>
      <c r="AG13" s="128" t="str">
        <f>IFERROR(IF(AG14="","",AG14/ORÇAMENTO!$G$20)," ")</f>
        <v/>
      </c>
      <c r="AH13" s="128" t="str">
        <f>IFERROR(IF(AH14="","",AH14/ORÇAMENTO!$G$20)," ")</f>
        <v/>
      </c>
      <c r="AI13" s="128" t="str">
        <f>IFERROR(IF(AI14="","",AI14/ORÇAMENTO!$G$20)," ")</f>
        <v/>
      </c>
      <c r="AJ13" s="128" t="str">
        <f>IFERROR(IF(AJ14="","",AJ14/ORÇAMENTO!$G$20)," ")</f>
        <v/>
      </c>
      <c r="AK13" s="128" t="str">
        <f>IFERROR(IF(AK14="","",AK14/ORÇAMENTO!$G$20)," ")</f>
        <v/>
      </c>
      <c r="AL13" s="128" t="str">
        <f>IFERROR(IF(AL14="","",AL14/ORÇAMENTO!$G$20)," ")</f>
        <v/>
      </c>
      <c r="AM13" s="128" t="str">
        <f>IFERROR(IF(AM14="","",AM14/ORÇAMENTO!$G$20)," ")</f>
        <v/>
      </c>
      <c r="AN13" s="128" t="str">
        <f>IFERROR(IF(AN14="","",AN14/ORÇAMENTO!$G$20)," ")</f>
        <v/>
      </c>
      <c r="AO13" s="128" t="str">
        <f>IFERROR(IF(AO14="","",AO14/ORÇAMENTO!$G$20)," ")</f>
        <v/>
      </c>
      <c r="AP13" s="128" t="str">
        <f>IFERROR(IF(AP14="","",AP14/ORÇAMENTO!$G$20)," ")</f>
        <v/>
      </c>
      <c r="AQ13" s="128" t="str">
        <f>IFERROR(IF(AQ14="","",AQ14/ORÇAMENTO!$G$20)," ")</f>
        <v/>
      </c>
      <c r="AR13" s="110">
        <f t="shared" si="5"/>
        <v>1</v>
      </c>
    </row>
    <row r="14" spans="1:44" ht="14.25" customHeight="1" x14ac:dyDescent="0.2">
      <c r="A14" s="11" t="s">
        <v>195</v>
      </c>
      <c r="B14" s="79"/>
      <c r="C14" s="79" t="s">
        <v>286</v>
      </c>
      <c r="D14" s="79">
        <v>2</v>
      </c>
      <c r="E14" s="649"/>
      <c r="F14" s="143"/>
      <c r="G14" s="143"/>
      <c r="H14" s="143"/>
      <c r="I14" s="135">
        <f>IF($D$14&gt;0,ORÇAMENTO!$G$20/$D$14," ")</f>
        <v>6468</v>
      </c>
      <c r="J14" s="135">
        <f>IF($D$14&gt;0,ORÇAMENTO!$G$20/$D$14," ")</f>
        <v>6468</v>
      </c>
      <c r="K14" s="135"/>
      <c r="L14" s="135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11">
        <f t="shared" si="5"/>
        <v>12936</v>
      </c>
    </row>
    <row r="15" spans="1:44" ht="14.25" customHeight="1" x14ac:dyDescent="0.2">
      <c r="A15" s="11" t="s">
        <v>194</v>
      </c>
      <c r="B15" s="108" t="s">
        <v>5</v>
      </c>
      <c r="C15" s="115" t="str">
        <f>VLOOKUP(B15,ORÇAMENTO!B13:G92,2,0)</f>
        <v>DESPESAS INDIRETAS</v>
      </c>
      <c r="D15" s="115"/>
      <c r="E15" s="648" t="s">
        <v>306</v>
      </c>
      <c r="F15" s="143"/>
      <c r="G15" s="143"/>
      <c r="H15" s="143"/>
      <c r="I15" s="128" t="str">
        <f>IFERROR(IF(I16="","",I16/ORÇAMENTO!$G$25)," ")</f>
        <v/>
      </c>
      <c r="J15" s="128" t="str">
        <f>IFERROR(IF(J16="","",J16/ORÇAMENTO!$G$25)," ")</f>
        <v/>
      </c>
      <c r="K15" s="128">
        <f>IFERROR(IF(K16="","",K16/ORÇAMENTO!$G$25)," ")</f>
        <v>8.3333333333333329E-2</v>
      </c>
      <c r="L15" s="128">
        <f>IFERROR(IF(L16="","",L16/ORÇAMENTO!$G$25)," ")</f>
        <v>8.3333333333333329E-2</v>
      </c>
      <c r="M15" s="128">
        <f>IFERROR(IF(M16="","",M16/ORÇAMENTO!$G$25)," ")</f>
        <v>8.3333333333333329E-2</v>
      </c>
      <c r="N15" s="128">
        <f>IFERROR(IF(N16="","",N16/ORÇAMENTO!$G$25)," ")</f>
        <v>8.3333333333333329E-2</v>
      </c>
      <c r="O15" s="128">
        <f>IFERROR(IF(O16="","",O16/ORÇAMENTO!$G$25)," ")</f>
        <v>8.3333333333333329E-2</v>
      </c>
      <c r="P15" s="128">
        <f>IFERROR(IF(P16="","",P16/ORÇAMENTO!$G$25)," ")</f>
        <v>8.3333333333333329E-2</v>
      </c>
      <c r="Q15" s="128">
        <f>IFERROR(IF(Q16="","",Q16/ORÇAMENTO!$G$25)," ")</f>
        <v>8.3333333333333329E-2</v>
      </c>
      <c r="R15" s="128">
        <f>IFERROR(IF(R16="","",R16/ORÇAMENTO!$G$25)," ")</f>
        <v>8.3333333333333329E-2</v>
      </c>
      <c r="S15" s="128">
        <f>IFERROR(IF(S16="","",S16/ORÇAMENTO!$G$25)," ")</f>
        <v>8.3333333333333329E-2</v>
      </c>
      <c r="T15" s="128">
        <f>IFERROR(IF(T16="","",T16/ORÇAMENTO!$G$25)," ")</f>
        <v>8.3333333333333329E-2</v>
      </c>
      <c r="U15" s="128">
        <f>IFERROR(IF(U16="","",U16/ORÇAMENTO!$G$25)," ")</f>
        <v>8.3333333333333329E-2</v>
      </c>
      <c r="V15" s="128">
        <f>IFERROR(IF(V16="","",V16/ORÇAMENTO!$G$25)," ")</f>
        <v>8.3333333333333329E-2</v>
      </c>
      <c r="W15" s="128" t="str">
        <f>IFERROR(IF(W16="","",W16/ORÇAMENTO!$G$25)," ")</f>
        <v/>
      </c>
      <c r="X15" s="128" t="str">
        <f>IFERROR(IF(X16="","",X16/ORÇAMENTO!$G$25)," ")</f>
        <v/>
      </c>
      <c r="Y15" s="128" t="str">
        <f>IFERROR(IF(Y16="","",Y16/ORÇAMENTO!$G$25)," ")</f>
        <v/>
      </c>
      <c r="Z15" s="128" t="str">
        <f>IFERROR(IF(Z16="","",Z16/ORÇAMENTO!$G$25)," ")</f>
        <v/>
      </c>
      <c r="AA15" s="128" t="str">
        <f>IFERROR(IF(AA16="","",AA16/ORÇAMENTO!$G$25)," ")</f>
        <v/>
      </c>
      <c r="AB15" s="128" t="str">
        <f>IFERROR(IF(AB16="","",AB16/ORÇAMENTO!$G$25)," ")</f>
        <v/>
      </c>
      <c r="AC15" s="128" t="str">
        <f>IFERROR(IF(AC16="","",AC16/ORÇAMENTO!$G$25)," ")</f>
        <v/>
      </c>
      <c r="AD15" s="128" t="str">
        <f>IFERROR(IF(AD16="","",AD16/ORÇAMENTO!$G$25)," ")</f>
        <v/>
      </c>
      <c r="AE15" s="128" t="str">
        <f>IFERROR(IF(AE16="","",AE16/ORÇAMENTO!$G$25)," ")</f>
        <v/>
      </c>
      <c r="AF15" s="128" t="str">
        <f>IFERROR(IF(AF16="","",AF16/ORÇAMENTO!$G$25)," ")</f>
        <v/>
      </c>
      <c r="AG15" s="128" t="str">
        <f>IFERROR(IF(AG16="","",AG16/ORÇAMENTO!$G$25)," ")</f>
        <v/>
      </c>
      <c r="AH15" s="128" t="str">
        <f>IFERROR(IF(AH16="","",AH16/ORÇAMENTO!$G$25)," ")</f>
        <v/>
      </c>
      <c r="AI15" s="128" t="str">
        <f>IFERROR(IF(AI16="","",AI16/ORÇAMENTO!$G$25)," ")</f>
        <v/>
      </c>
      <c r="AJ15" s="128" t="str">
        <f>IFERROR(IF(AJ16="","",AJ16/ORÇAMENTO!$G$25)," ")</f>
        <v/>
      </c>
      <c r="AK15" s="128" t="str">
        <f>IFERROR(IF(AK16="","",AK16/ORÇAMENTO!$G$25)," ")</f>
        <v/>
      </c>
      <c r="AL15" s="128" t="str">
        <f>IFERROR(IF(AL16="","",AL16/ORÇAMENTO!$G$25)," ")</f>
        <v/>
      </c>
      <c r="AM15" s="128" t="str">
        <f>IFERROR(IF(AM16="","",AM16/ORÇAMENTO!$G$25)," ")</f>
        <v/>
      </c>
      <c r="AN15" s="128" t="str">
        <f>IFERROR(IF(AN16="","",AN16/ORÇAMENTO!$G$25)," ")</f>
        <v/>
      </c>
      <c r="AO15" s="128" t="str">
        <f>IFERROR(IF(AO16="","",AO16/ORÇAMENTO!$G$25)," ")</f>
        <v/>
      </c>
      <c r="AP15" s="128" t="str">
        <f>IFERROR(IF(AP16="","",AP16/ORÇAMENTO!$G$25)," ")</f>
        <v/>
      </c>
      <c r="AQ15" s="128" t="str">
        <f>IFERROR(IF(AQ16="","",AQ16/ORÇAMENTO!$G$25)," ")</f>
        <v/>
      </c>
      <c r="AR15" s="110">
        <f t="shared" si="5"/>
        <v>1</v>
      </c>
    </row>
    <row r="16" spans="1:44" ht="14.25" customHeight="1" x14ac:dyDescent="0.2">
      <c r="A16" s="11" t="s">
        <v>195</v>
      </c>
      <c r="B16" s="79"/>
      <c r="C16" s="79" t="s">
        <v>289</v>
      </c>
      <c r="D16" s="133"/>
      <c r="E16" s="649"/>
      <c r="F16" s="143"/>
      <c r="G16" s="143"/>
      <c r="H16" s="143"/>
      <c r="I16" s="135"/>
      <c r="J16" s="135"/>
      <c r="K16" s="135">
        <f>ORÇAMENTO!$G$25/12</f>
        <v>15831.666666666666</v>
      </c>
      <c r="L16" s="135">
        <f>ORÇAMENTO!$G$25/12</f>
        <v>15831.666666666666</v>
      </c>
      <c r="M16" s="135">
        <f>ORÇAMENTO!$G$25/12</f>
        <v>15831.666666666666</v>
      </c>
      <c r="N16" s="135">
        <f>ORÇAMENTO!$G$25/12</f>
        <v>15831.666666666666</v>
      </c>
      <c r="O16" s="135">
        <f>ORÇAMENTO!$G$25/12</f>
        <v>15831.666666666666</v>
      </c>
      <c r="P16" s="135">
        <f>ORÇAMENTO!$G$25/12</f>
        <v>15831.666666666666</v>
      </c>
      <c r="Q16" s="135">
        <f>ORÇAMENTO!$G$25/12</f>
        <v>15831.666666666666</v>
      </c>
      <c r="R16" s="135">
        <f>ORÇAMENTO!$G$25/12</f>
        <v>15831.666666666666</v>
      </c>
      <c r="S16" s="135">
        <f>ORÇAMENTO!$G$25/12</f>
        <v>15831.666666666666</v>
      </c>
      <c r="T16" s="135">
        <f>ORÇAMENTO!$G$25/12</f>
        <v>15831.666666666666</v>
      </c>
      <c r="U16" s="135">
        <f>ORÇAMENTO!$G$25/12</f>
        <v>15831.666666666666</v>
      </c>
      <c r="V16" s="135">
        <f>ORÇAMENTO!$G$25/12</f>
        <v>15831.666666666666</v>
      </c>
      <c r="W16" s="135"/>
      <c r="X16" s="135"/>
      <c r="Y16" s="135"/>
      <c r="Z16" s="135"/>
      <c r="AA16" s="135"/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11">
        <f t="shared" si="5"/>
        <v>189979.99999999997</v>
      </c>
    </row>
    <row r="17" spans="1:44" ht="14.25" customHeight="1" x14ac:dyDescent="0.2">
      <c r="A17" s="11" t="s">
        <v>194</v>
      </c>
      <c r="B17" s="108" t="s">
        <v>6</v>
      </c>
      <c r="C17" s="108" t="str">
        <f>VLOOKUP(B17,ORÇAMENTO!B15:G94,2,0)</f>
        <v>LIMPEZA DA OBRA</v>
      </c>
      <c r="D17" s="108"/>
      <c r="E17" s="648" t="s">
        <v>305</v>
      </c>
      <c r="F17" s="143"/>
      <c r="G17" s="143"/>
      <c r="H17" s="143"/>
      <c r="I17" s="128" t="str">
        <f>IFERROR(IF(I18="","",I18/ORÇAMENTO!$G$38),"")</f>
        <v/>
      </c>
      <c r="J17" s="128" t="str">
        <f>IFERROR(IF(J18="","",J18/ORÇAMENTO!$G$38),"")</f>
        <v/>
      </c>
      <c r="K17" s="128">
        <f>IFERROR(IF(K18="","",K18/ORÇAMENTO!$G$38),"")</f>
        <v>9.0909090909090912E-2</v>
      </c>
      <c r="L17" s="128">
        <f>IFERROR(IF(L18="","",L18/ORÇAMENTO!$G$38),"")</f>
        <v>9.0909090909090912E-2</v>
      </c>
      <c r="M17" s="128">
        <f>IFERROR(IF(M18="","",M18/ORÇAMENTO!$G$38),"")</f>
        <v>9.0909090909090912E-2</v>
      </c>
      <c r="N17" s="128">
        <f>IFERROR(IF(N18="","",N18/ORÇAMENTO!$G$38),"")</f>
        <v>9.0909090909090912E-2</v>
      </c>
      <c r="O17" s="128">
        <f>IFERROR(IF(O18="","",O18/ORÇAMENTO!$G$38),"")</f>
        <v>9.0909090909090912E-2</v>
      </c>
      <c r="P17" s="128">
        <f>IFERROR(IF(P18="","",P18/ORÇAMENTO!$G$38),"")</f>
        <v>9.0909090909090912E-2</v>
      </c>
      <c r="Q17" s="128">
        <f>IFERROR(IF(Q18="","",Q18/ORÇAMENTO!$G$38),"")</f>
        <v>9.0909090909090912E-2</v>
      </c>
      <c r="R17" s="128">
        <f>IFERROR(IF(R18="","",R18/ORÇAMENTO!$G$38),"")</f>
        <v>9.0909090909090912E-2</v>
      </c>
      <c r="S17" s="128">
        <f>IFERROR(IF(S18="","",S18/ORÇAMENTO!$G$38),"")</f>
        <v>9.0909090909090912E-2</v>
      </c>
      <c r="T17" s="128">
        <f>IFERROR(IF(T18="","",T18/ORÇAMENTO!$G$38),"")</f>
        <v>9.0909090909090912E-2</v>
      </c>
      <c r="U17" s="128">
        <f>IFERROR(IF(U18="","",U18/ORÇAMENTO!$G$38),"")</f>
        <v>9.0909090909090912E-2</v>
      </c>
      <c r="V17" s="128" t="str">
        <f>IFERROR(IF(V18="","",V18/ORÇAMENTO!$G$38),"")</f>
        <v/>
      </c>
      <c r="W17" s="128" t="str">
        <f>IFERROR(IF(W18="","",W18/ORÇAMENTO!$G$38),"")</f>
        <v/>
      </c>
      <c r="X17" s="128" t="str">
        <f>IFERROR(IF(X18="","",X18/ORÇAMENTO!$G$38),"")</f>
        <v/>
      </c>
      <c r="Y17" s="128" t="str">
        <f>IFERROR(IF(Y18="","",Y18/ORÇAMENTO!$G$38),"")</f>
        <v/>
      </c>
      <c r="Z17" s="128" t="str">
        <f>IFERROR(IF(Z18="","",Z18/ORÇAMENTO!$G$38),"")</f>
        <v/>
      </c>
      <c r="AA17" s="128" t="str">
        <f>IFERROR(IF(AA18="","",AA18/ORÇAMENTO!$G$38),"")</f>
        <v/>
      </c>
      <c r="AB17" s="128" t="str">
        <f>IFERROR(IF(AB18="","",AB18/ORÇAMENTO!$G$38),"")</f>
        <v/>
      </c>
      <c r="AC17" s="128" t="str">
        <f>IFERROR(IF(AC18="","",AC18/ORÇAMENTO!$G$38),"")</f>
        <v/>
      </c>
      <c r="AD17" s="128" t="str">
        <f>IFERROR(IF(AD18="","",AD18/ORÇAMENTO!$G$38),"")</f>
        <v/>
      </c>
      <c r="AE17" s="128" t="str">
        <f>IFERROR(IF(AE18="","",AE18/ORÇAMENTO!$G$38),"")</f>
        <v/>
      </c>
      <c r="AF17" s="128" t="str">
        <f>IFERROR(IF(AF18="","",AF18/ORÇAMENTO!$G$38),"")</f>
        <v/>
      </c>
      <c r="AG17" s="128" t="str">
        <f>IFERROR(IF(AG18="","",AG18/ORÇAMENTO!$G$38),"")</f>
        <v/>
      </c>
      <c r="AH17" s="128" t="str">
        <f>IFERROR(IF(AH18="","",AH18/ORÇAMENTO!$G$38),"")</f>
        <v/>
      </c>
      <c r="AI17" s="128" t="str">
        <f>IFERROR(IF(AI18="","",AI18/ORÇAMENTO!$G$38),"")</f>
        <v/>
      </c>
      <c r="AJ17" s="128" t="str">
        <f>IFERROR(IF(AJ18="","",AJ18/ORÇAMENTO!$G$38),"")</f>
        <v/>
      </c>
      <c r="AK17" s="128" t="str">
        <f>IFERROR(IF(AK18="","",AK18/ORÇAMENTO!$G$38),"")</f>
        <v/>
      </c>
      <c r="AL17" s="128" t="str">
        <f>IFERROR(IF(AL18="","",AL18/ORÇAMENTO!$G$38),"")</f>
        <v/>
      </c>
      <c r="AM17" s="128" t="str">
        <f>IFERROR(IF(AM18="","",AM18/ORÇAMENTO!$G$38),"")</f>
        <v/>
      </c>
      <c r="AN17" s="128" t="str">
        <f>IFERROR(IF(AN18="","",AN18/ORÇAMENTO!$G$38),"")</f>
        <v/>
      </c>
      <c r="AO17" s="128" t="str">
        <f>IFERROR(IF(AO18="","",AO18/ORÇAMENTO!$G$38),"")</f>
        <v/>
      </c>
      <c r="AP17" s="128" t="str">
        <f>IFERROR(IF(AP18="","",AP18/ORÇAMENTO!$G$38),"")</f>
        <v/>
      </c>
      <c r="AQ17" s="128" t="str">
        <f>IFERROR(IF(AQ18="","",AQ18/ORÇAMENTO!$G$38),"")</f>
        <v/>
      </c>
      <c r="AR17" s="110">
        <f t="shared" si="5"/>
        <v>1.0000000000000002</v>
      </c>
    </row>
    <row r="18" spans="1:44" ht="14.25" customHeight="1" x14ac:dyDescent="0.2">
      <c r="A18" s="11" t="s">
        <v>195</v>
      </c>
      <c r="B18" s="79"/>
      <c r="C18" s="79" t="s">
        <v>288</v>
      </c>
      <c r="D18" s="133"/>
      <c r="E18" s="649"/>
      <c r="F18" s="143"/>
      <c r="G18" s="143"/>
      <c r="H18" s="143"/>
      <c r="I18" s="135"/>
      <c r="J18" s="135"/>
      <c r="K18" s="135">
        <f>ORÇAMENTO!$G$38/11</f>
        <v>763.63636363636363</v>
      </c>
      <c r="L18" s="135">
        <f>ORÇAMENTO!$G$38/11</f>
        <v>763.63636363636363</v>
      </c>
      <c r="M18" s="135">
        <f>ORÇAMENTO!$G$38/11</f>
        <v>763.63636363636363</v>
      </c>
      <c r="N18" s="135">
        <f>ORÇAMENTO!$G$38/11</f>
        <v>763.63636363636363</v>
      </c>
      <c r="O18" s="135">
        <f>ORÇAMENTO!$G$38/11</f>
        <v>763.63636363636363</v>
      </c>
      <c r="P18" s="135">
        <f>ORÇAMENTO!$G$38/11</f>
        <v>763.63636363636363</v>
      </c>
      <c r="Q18" s="135">
        <f>ORÇAMENTO!$G$38/11</f>
        <v>763.63636363636363</v>
      </c>
      <c r="R18" s="135">
        <f>ORÇAMENTO!$G$38/11</f>
        <v>763.63636363636363</v>
      </c>
      <c r="S18" s="135">
        <f>ORÇAMENTO!$G$38/11</f>
        <v>763.63636363636363</v>
      </c>
      <c r="T18" s="135">
        <f>ORÇAMENTO!$G$38/11</f>
        <v>763.63636363636363</v>
      </c>
      <c r="U18" s="135">
        <f>ORÇAMENTO!$G$38/11</f>
        <v>763.63636363636363</v>
      </c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11">
        <f t="shared" si="5"/>
        <v>8400.0000000000018</v>
      </c>
    </row>
    <row r="19" spans="1:44" ht="14.25" customHeight="1" x14ac:dyDescent="0.2">
      <c r="A19" s="11" t="s">
        <v>194</v>
      </c>
      <c r="B19" s="108" t="s">
        <v>7</v>
      </c>
      <c r="C19" s="115" t="str">
        <f>VLOOKUP(B19,ORÇAMENTO!B17:G96,2,0)</f>
        <v xml:space="preserve">TRANSPORTE </v>
      </c>
      <c r="D19" s="115"/>
      <c r="E19" s="648"/>
      <c r="F19" s="143"/>
      <c r="G19" s="143"/>
      <c r="H19" s="143"/>
      <c r="I19" s="136" t="str">
        <f>IFERROR(IF(I20="","",I20/ORÇAMENTO!$G$40),"")</f>
        <v/>
      </c>
      <c r="J19" s="136" t="str">
        <f>IFERROR(IF(J20="","",J20/ORÇAMENTO!$G$40),"")</f>
        <v/>
      </c>
      <c r="K19" s="136">
        <f>IFERROR(IF(K20="","",K20/ORÇAMENTO!$G$40),"")</f>
        <v>9.0909090909090912E-2</v>
      </c>
      <c r="L19" s="136">
        <f>IFERROR(IF(L20="","",L20/ORÇAMENTO!$G$40),"")</f>
        <v>9.0909090909090912E-2</v>
      </c>
      <c r="M19" s="136">
        <f>IFERROR(IF(M20="","",M20/ORÇAMENTO!$G$40),"")</f>
        <v>9.0909090909090912E-2</v>
      </c>
      <c r="N19" s="136">
        <f>IFERROR(IF(N20="","",N20/ORÇAMENTO!$G$40),"")</f>
        <v>9.0909090909090912E-2</v>
      </c>
      <c r="O19" s="136">
        <f>IFERROR(IF(O20="","",O20/ORÇAMENTO!$G$40),"")</f>
        <v>9.0909090909090912E-2</v>
      </c>
      <c r="P19" s="136">
        <f>IFERROR(IF(P20="","",P20/ORÇAMENTO!$G$40),"")</f>
        <v>9.0909090909090912E-2</v>
      </c>
      <c r="Q19" s="136">
        <f>IFERROR(IF(Q20="","",Q20/ORÇAMENTO!$G$40),"")</f>
        <v>9.0909090909090912E-2</v>
      </c>
      <c r="R19" s="136">
        <f>IFERROR(IF(R20="","",R20/ORÇAMENTO!$G$40),"")</f>
        <v>9.0909090909090912E-2</v>
      </c>
      <c r="S19" s="136">
        <f>IFERROR(IF(S20="","",S20/ORÇAMENTO!$G$40),"")</f>
        <v>9.0909090909090912E-2</v>
      </c>
      <c r="T19" s="136">
        <f>IFERROR(IF(T20="","",T20/ORÇAMENTO!$G$40),"")</f>
        <v>9.0909090909090912E-2</v>
      </c>
      <c r="U19" s="136">
        <f>IFERROR(IF(U20="","",U20/ORÇAMENTO!$G$40),"")</f>
        <v>9.0909090909090912E-2</v>
      </c>
      <c r="V19" s="136" t="str">
        <f>IFERROR(IF(V20="","",V20/ORÇAMENTO!$G$40),"")</f>
        <v/>
      </c>
      <c r="W19" s="136" t="str">
        <f>IFERROR(IF(W20="","",W20/ORÇAMENTO!$G$40),"")</f>
        <v/>
      </c>
      <c r="X19" s="136" t="str">
        <f>IFERROR(IF(X20="","",X20/ORÇAMENTO!$G$40),"")</f>
        <v/>
      </c>
      <c r="Y19" s="136" t="str">
        <f>IFERROR(IF(Y20="","",Y20/ORÇAMENTO!$G$40),"")</f>
        <v/>
      </c>
      <c r="Z19" s="136" t="str">
        <f>IFERROR(IF(Z20="","",Z20/ORÇAMENTO!$G$40),"")</f>
        <v/>
      </c>
      <c r="AA19" s="136" t="str">
        <f>IFERROR(IF(AA20="","",AA20/ORÇAMENTO!$G$40),"")</f>
        <v/>
      </c>
      <c r="AB19" s="136" t="str">
        <f>IFERROR(IF(AB20="","",AB20/ORÇAMENTO!$G$40),"")</f>
        <v/>
      </c>
      <c r="AC19" s="136" t="str">
        <f>IFERROR(IF(AC20="","",AC20/ORÇAMENTO!$G$40),"")</f>
        <v/>
      </c>
      <c r="AD19" s="136" t="str">
        <f>IFERROR(IF(AD20="","",AD20/ORÇAMENTO!$G$40),"")</f>
        <v/>
      </c>
      <c r="AE19" s="136" t="str">
        <f>IFERROR(IF(AE20="","",AE20/ORÇAMENTO!$G$40),"")</f>
        <v/>
      </c>
      <c r="AF19" s="136" t="str">
        <f>IFERROR(IF(AF20="","",AF20/ORÇAMENTO!$G$40),"")</f>
        <v/>
      </c>
      <c r="AG19" s="136" t="str">
        <f>IFERROR(IF(AG20="","",AG20/ORÇAMENTO!$G$40),"")</f>
        <v/>
      </c>
      <c r="AH19" s="136" t="str">
        <f>IFERROR(IF(AH20="","",AH20/ORÇAMENTO!$G$40),"")</f>
        <v/>
      </c>
      <c r="AI19" s="136" t="str">
        <f>IFERROR(IF(AI20="","",AI20/ORÇAMENTO!$G$40),"")</f>
        <v/>
      </c>
      <c r="AJ19" s="136" t="str">
        <f>IFERROR(IF(AJ20="","",AJ20/ORÇAMENTO!$G$40),"")</f>
        <v/>
      </c>
      <c r="AK19" s="136" t="str">
        <f>IFERROR(IF(AK20="","",AK20/ORÇAMENTO!$G$40),"")</f>
        <v/>
      </c>
      <c r="AL19" s="136" t="str">
        <f>IFERROR(IF(AL20="","",AL20/ORÇAMENTO!$G$40),"")</f>
        <v/>
      </c>
      <c r="AM19" s="136" t="str">
        <f>IFERROR(IF(AM20="","",AM20/ORÇAMENTO!$G$40),"")</f>
        <v/>
      </c>
      <c r="AN19" s="136" t="str">
        <f>IFERROR(IF(AN20="","",AN20/ORÇAMENTO!$G$40),"")</f>
        <v/>
      </c>
      <c r="AO19" s="136" t="str">
        <f>IFERROR(IF(AO20="","",AO20/ORÇAMENTO!$G$40),"")</f>
        <v/>
      </c>
      <c r="AP19" s="136" t="str">
        <f>IFERROR(IF(AP20="","",AP20/ORÇAMENTO!$G$40),"")</f>
        <v/>
      </c>
      <c r="AQ19" s="136" t="str">
        <f>IFERROR(IF(AQ20="","",AQ20/ORÇAMENTO!$G$40),"")</f>
        <v/>
      </c>
      <c r="AR19" s="110">
        <f t="shared" si="5"/>
        <v>1.0000000000000002</v>
      </c>
    </row>
    <row r="20" spans="1:44" ht="14.25" customHeight="1" x14ac:dyDescent="0.2">
      <c r="A20" s="11" t="s">
        <v>195</v>
      </c>
      <c r="B20" s="79"/>
      <c r="C20" s="79" t="s">
        <v>288</v>
      </c>
      <c r="D20" s="133"/>
      <c r="E20" s="649"/>
      <c r="F20" s="143"/>
      <c r="G20" s="143"/>
      <c r="H20" s="143"/>
      <c r="I20" s="135"/>
      <c r="J20" s="135"/>
      <c r="K20" s="135">
        <f>ORÇAMENTO!$G$40/11</f>
        <v>232.72727272727272</v>
      </c>
      <c r="L20" s="135">
        <f>ORÇAMENTO!$G$40/11</f>
        <v>232.72727272727272</v>
      </c>
      <c r="M20" s="135">
        <f>ORÇAMENTO!$G$40/11</f>
        <v>232.72727272727272</v>
      </c>
      <c r="N20" s="135">
        <f>ORÇAMENTO!$G$40/11</f>
        <v>232.72727272727272</v>
      </c>
      <c r="O20" s="135">
        <f>ORÇAMENTO!$G$40/11</f>
        <v>232.72727272727272</v>
      </c>
      <c r="P20" s="135">
        <f>ORÇAMENTO!$G$40/11</f>
        <v>232.72727272727272</v>
      </c>
      <c r="Q20" s="135">
        <f>ORÇAMENTO!$G$40/11</f>
        <v>232.72727272727272</v>
      </c>
      <c r="R20" s="135">
        <f>ORÇAMENTO!$G$40/11</f>
        <v>232.72727272727272</v>
      </c>
      <c r="S20" s="135">
        <f>ORÇAMENTO!$G$40/11</f>
        <v>232.72727272727272</v>
      </c>
      <c r="T20" s="135">
        <f>ORÇAMENTO!$G$40/11</f>
        <v>232.72727272727272</v>
      </c>
      <c r="U20" s="135">
        <f>ORÇAMENTO!$G$40/11</f>
        <v>232.72727272727272</v>
      </c>
      <c r="V20" s="135"/>
      <c r="W20" s="135"/>
      <c r="X20" s="135"/>
      <c r="Y20" s="135"/>
      <c r="Z20" s="135"/>
      <c r="AA20" s="135"/>
      <c r="AB20" s="135"/>
      <c r="AC20" s="135"/>
      <c r="AD20" s="135"/>
      <c r="AE20" s="135"/>
      <c r="AF20" s="135"/>
      <c r="AG20" s="135"/>
      <c r="AH20" s="135"/>
      <c r="AI20" s="135"/>
      <c r="AJ20" s="135"/>
      <c r="AK20" s="135"/>
      <c r="AL20" s="135"/>
      <c r="AM20" s="135"/>
      <c r="AN20" s="135"/>
      <c r="AO20" s="135"/>
      <c r="AP20" s="135"/>
      <c r="AQ20" s="135"/>
      <c r="AR20" s="111">
        <f t="shared" si="5"/>
        <v>2559.9999999999995</v>
      </c>
    </row>
    <row r="21" spans="1:44" ht="14.25" customHeight="1" x14ac:dyDescent="0.2">
      <c r="A21" s="11" t="s">
        <v>194</v>
      </c>
      <c r="B21" s="108" t="s">
        <v>8</v>
      </c>
      <c r="C21" s="108" t="str">
        <f>VLOOKUP(B21,ORÇAMENTO!B19:G98,2,0)</f>
        <v>MOVIMENTO DE TERRA</v>
      </c>
      <c r="D21" s="108"/>
      <c r="E21" s="648"/>
      <c r="F21" s="143"/>
      <c r="G21" s="143"/>
      <c r="H21" s="143"/>
      <c r="I21" s="136" t="str">
        <f>IFERROR(IF(I22="","",I22/ORÇAMENTO!$G$42),"")</f>
        <v/>
      </c>
      <c r="J21" s="136" t="str">
        <f>IFERROR(IF(J22="","",J22/ORÇAMENTO!$G$42),"")</f>
        <v/>
      </c>
      <c r="K21" s="136">
        <f>IFERROR(IF(K22="","",K22/ORÇAMENTO!$G$42),"")</f>
        <v>0.73813642008160374</v>
      </c>
      <c r="L21" s="136">
        <f>IFERROR(IF(L22="","",L22/ORÇAMENTO!$G$42),"")</f>
        <v>3.7409082845485185E-2</v>
      </c>
      <c r="M21" s="136">
        <f>IFERROR(IF(M22="","",M22/ORÇAMENTO!$G$42),"")</f>
        <v>3.7409082845485185E-2</v>
      </c>
      <c r="N21" s="136">
        <f>IFERROR(IF(N22="","",N22/ORÇAMENTO!$G$42),"")</f>
        <v>3.7409082845485185E-2</v>
      </c>
      <c r="O21" s="136">
        <f>IFERROR(IF(O22="","",O22/ORÇAMENTO!$G$42),"")</f>
        <v>3.7409082845485185E-2</v>
      </c>
      <c r="P21" s="136">
        <f>IFERROR(IF(P22="","",P22/ORÇAMENTO!$G$42),"")</f>
        <v>3.7409082845485185E-2</v>
      </c>
      <c r="Q21" s="136">
        <f>IFERROR(IF(Q22="","",Q22/ORÇAMENTO!$G$42),"")</f>
        <v>3.7409082845485185E-2</v>
      </c>
      <c r="R21" s="136">
        <f>IFERROR(IF(R22="","",R22/ORÇAMENTO!$G$42),"")</f>
        <v>3.7409082845485185E-2</v>
      </c>
      <c r="S21" s="136" t="str">
        <f>IFERROR(IF(S22="","",S22/ORÇAMENTO!$G$42),"")</f>
        <v/>
      </c>
      <c r="T21" s="136" t="str">
        <f>IFERROR(IF(T22="","",T22/ORÇAMENTO!$G$42),"")</f>
        <v/>
      </c>
      <c r="U21" s="136" t="str">
        <f>IFERROR(IF(U22="","",U22/ORÇAMENTO!$G$42),"")</f>
        <v/>
      </c>
      <c r="V21" s="136" t="str">
        <f>IFERROR(IF(V22="","",V22/ORÇAMENTO!$G$42),"")</f>
        <v/>
      </c>
      <c r="W21" s="136" t="str">
        <f>IFERROR(IF(W22="","",W22/ORÇAMENTO!$G$42),"")</f>
        <v/>
      </c>
      <c r="X21" s="136" t="str">
        <f>IFERROR(IF(X22="","",X22/ORÇAMENTO!$G$42),"")</f>
        <v/>
      </c>
      <c r="Y21" s="136" t="str">
        <f>IFERROR(IF(Y22="","",Y22/ORÇAMENTO!$G$42),"")</f>
        <v/>
      </c>
      <c r="Z21" s="136" t="str">
        <f>IFERROR(IF(Z22="","",Z22/ORÇAMENTO!$G$42),"")</f>
        <v/>
      </c>
      <c r="AA21" s="136" t="str">
        <f>IFERROR(IF(AA22="","",AA22/ORÇAMENTO!$G$42),"")</f>
        <v/>
      </c>
      <c r="AB21" s="136" t="str">
        <f>IFERROR(IF(AB22="","",AB22/ORÇAMENTO!$G$42),"")</f>
        <v/>
      </c>
      <c r="AC21" s="136" t="str">
        <f>IFERROR(IF(AC22="","",AC22/ORÇAMENTO!$G$42),"")</f>
        <v/>
      </c>
      <c r="AD21" s="136" t="str">
        <f>IFERROR(IF(AD22="","",AD22/ORÇAMENTO!$G$42),"")</f>
        <v/>
      </c>
      <c r="AE21" s="136">
        <f>IFERROR(IF(AE22="","",AE22/ORÇAMENTO!$G$42),"")</f>
        <v>7.0959730353024658E-4</v>
      </c>
      <c r="AF21" s="136" t="str">
        <f>IFERROR(IF(AF22="","",AF22/ORÇAMENTO!$G$42),"")</f>
        <v/>
      </c>
      <c r="AG21" s="136" t="str">
        <f>IFERROR(IF(AG22="","",AG22/ORÇAMENTO!$G$42),"")</f>
        <v/>
      </c>
      <c r="AH21" s="136" t="str">
        <f>IFERROR(IF(AH22="","",AH22/ORÇAMENTO!$G$42),"")</f>
        <v/>
      </c>
      <c r="AI21" s="136" t="str">
        <f>IFERROR(IF(AI22="","",AI22/ORÇAMENTO!$G$42),"")</f>
        <v/>
      </c>
      <c r="AJ21" s="136" t="str">
        <f>IFERROR(IF(AJ22="","",AJ22/ORÇAMENTO!$G$42),"")</f>
        <v/>
      </c>
      <c r="AK21" s="136" t="str">
        <f>IFERROR(IF(AK22="","",AK22/ORÇAMENTO!$G$42),"")</f>
        <v/>
      </c>
      <c r="AL21" s="136" t="str">
        <f>IFERROR(IF(AL22="","",AL22/ORÇAMENTO!$G$42),"")</f>
        <v/>
      </c>
      <c r="AM21" s="136" t="str">
        <f>IFERROR(IF(AM22="","",AM22/ORÇAMENTO!$G$42),"")</f>
        <v/>
      </c>
      <c r="AN21" s="136" t="str">
        <f>IFERROR(IF(AN22="","",AN22/ORÇAMENTO!$G$42),"")</f>
        <v/>
      </c>
      <c r="AO21" s="136" t="str">
        <f>IFERROR(IF(AO22="","",AO22/ORÇAMENTO!$G$42),"")</f>
        <v/>
      </c>
      <c r="AP21" s="136" t="str">
        <f>IFERROR(IF(AP22="","",AP22/ORÇAMENTO!$G$42),"")</f>
        <v/>
      </c>
      <c r="AQ21" s="136" t="str">
        <f>IFERROR(IF(AQ22="","",AQ22/ORÇAMENTO!$G$42),"")</f>
        <v/>
      </c>
      <c r="AR21" s="110">
        <f t="shared" si="5"/>
        <v>0.99999999999999989</v>
      </c>
    </row>
    <row r="22" spans="1:44" ht="14.25" customHeight="1" x14ac:dyDescent="0.2">
      <c r="A22" s="11" t="s">
        <v>195</v>
      </c>
      <c r="B22" s="79"/>
      <c r="C22" s="79" t="s">
        <v>292</v>
      </c>
      <c r="D22" s="133"/>
      <c r="E22" s="649"/>
      <c r="F22" s="143"/>
      <c r="G22" s="143"/>
      <c r="H22" s="143"/>
      <c r="I22" s="135"/>
      <c r="J22" s="135"/>
      <c r="K22" s="135">
        <f>ORÇAMENTO!G45+ORÇAMENTO!G44+L22</f>
        <v>2080.4375</v>
      </c>
      <c r="L22" s="135">
        <f>ORÇAMENTO!$G$43/8</f>
        <v>105.4375</v>
      </c>
      <c r="M22" s="135">
        <f>ORÇAMENTO!$G$43/8</f>
        <v>105.4375</v>
      </c>
      <c r="N22" s="135">
        <f>ORÇAMENTO!$G$43/8</f>
        <v>105.4375</v>
      </c>
      <c r="O22" s="135">
        <f>ORÇAMENTO!$G$43/8</f>
        <v>105.4375</v>
      </c>
      <c r="P22" s="135">
        <f>ORÇAMENTO!$G$43/8</f>
        <v>105.4375</v>
      </c>
      <c r="Q22" s="135">
        <f>ORÇAMENTO!$G$43/8</f>
        <v>105.4375</v>
      </c>
      <c r="R22" s="135">
        <f>ORÇAMENTO!$G$43/8</f>
        <v>105.4375</v>
      </c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>
        <v>2</v>
      </c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11">
        <f t="shared" si="5"/>
        <v>2818.5</v>
      </c>
    </row>
    <row r="23" spans="1:44" ht="14.25" customHeight="1" x14ac:dyDescent="0.2">
      <c r="A23" s="11" t="s">
        <v>194</v>
      </c>
      <c r="B23" s="108" t="s">
        <v>9</v>
      </c>
      <c r="C23" s="115" t="str">
        <f>VLOOKUP(B23,ORÇAMENTO!B22:G102,2,0)</f>
        <v>FUNDAÇÃO</v>
      </c>
      <c r="D23" s="115"/>
      <c r="E23" s="648"/>
      <c r="F23" s="143"/>
      <c r="G23" s="143"/>
      <c r="H23" s="143"/>
      <c r="I23" s="136"/>
      <c r="J23" s="136">
        <f>J24/ORÇAMENTO!G46</f>
        <v>0.5</v>
      </c>
      <c r="K23" s="136">
        <f>K24/ORÇAMENTO!G46</f>
        <v>0.5</v>
      </c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10">
        <f t="shared" si="5"/>
        <v>1</v>
      </c>
    </row>
    <row r="24" spans="1:44" ht="14.25" customHeight="1" x14ac:dyDescent="0.2">
      <c r="A24" s="11" t="s">
        <v>195</v>
      </c>
      <c r="B24" s="79"/>
      <c r="C24" s="79" t="s">
        <v>286</v>
      </c>
      <c r="D24" s="133"/>
      <c r="E24" s="649"/>
      <c r="F24" s="143"/>
      <c r="G24" s="143"/>
      <c r="H24" s="143"/>
      <c r="I24" s="135"/>
      <c r="J24" s="135">
        <f>ORÇAMENTO!G46/2</f>
        <v>14275</v>
      </c>
      <c r="K24" s="135">
        <f>ORÇAMENTO!G46/2</f>
        <v>14275</v>
      </c>
      <c r="L24" s="135"/>
      <c r="M24" s="135"/>
      <c r="N24" s="135"/>
      <c r="O24" s="135"/>
      <c r="P24" s="135"/>
      <c r="Q24" s="135"/>
      <c r="R24" s="135"/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  <c r="AI24" s="135"/>
      <c r="AJ24" s="135"/>
      <c r="AK24" s="135"/>
      <c r="AL24" s="135"/>
      <c r="AM24" s="135"/>
      <c r="AN24" s="135"/>
      <c r="AO24" s="135"/>
      <c r="AP24" s="135"/>
      <c r="AQ24" s="135"/>
      <c r="AR24" s="111">
        <f t="shared" si="5"/>
        <v>28550</v>
      </c>
    </row>
    <row r="25" spans="1:44" ht="14.25" customHeight="1" x14ac:dyDescent="0.2">
      <c r="A25" s="11" t="s">
        <v>194</v>
      </c>
      <c r="B25" s="108" t="s">
        <v>10</v>
      </c>
      <c r="C25" s="108" t="str">
        <f>VLOOKUP(B25,ORÇAMENTO!B24:G104,2,0)</f>
        <v>ESTRUTURA</v>
      </c>
      <c r="D25" s="108"/>
      <c r="E25" s="648"/>
      <c r="F25" s="143"/>
      <c r="G25" s="143"/>
      <c r="H25" s="143"/>
      <c r="I25" s="136"/>
      <c r="J25" s="136"/>
      <c r="K25" s="136"/>
      <c r="L25" s="136">
        <f>L26/ORÇAMENTO!$G$50</f>
        <v>0.11111111111111112</v>
      </c>
      <c r="M25" s="136">
        <f>M26/ORÇAMENTO!$G$50</f>
        <v>0.11111111111111112</v>
      </c>
      <c r="N25" s="136">
        <f>N26/ORÇAMENTO!$G$50</f>
        <v>0.11111111111111112</v>
      </c>
      <c r="O25" s="136">
        <f>O26/ORÇAMENTO!$G$50</f>
        <v>0.11111111111111112</v>
      </c>
      <c r="P25" s="136">
        <f>P26/ORÇAMENTO!$G$50</f>
        <v>0.11111111111111112</v>
      </c>
      <c r="Q25" s="136">
        <f>Q26/ORÇAMENTO!$G$50</f>
        <v>0.11111111111111112</v>
      </c>
      <c r="R25" s="136">
        <f>R26/ORÇAMENTO!$G$50</f>
        <v>0.11111111111111112</v>
      </c>
      <c r="S25" s="136">
        <f>S26/ORÇAMENTO!$G$50</f>
        <v>0.11111111111111112</v>
      </c>
      <c r="T25" s="136">
        <f>T26/ORÇAMENTO!$G$50</f>
        <v>0.11111111111111112</v>
      </c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10">
        <f t="shared" si="5"/>
        <v>1.0000000000000002</v>
      </c>
    </row>
    <row r="26" spans="1:44" ht="14.25" customHeight="1" x14ac:dyDescent="0.2">
      <c r="A26" s="11" t="s">
        <v>195</v>
      </c>
      <c r="B26" s="79"/>
      <c r="C26" s="79" t="s">
        <v>293</v>
      </c>
      <c r="D26" s="133"/>
      <c r="E26" s="649"/>
      <c r="F26" s="143"/>
      <c r="G26" s="143"/>
      <c r="H26" s="143"/>
      <c r="I26" s="135"/>
      <c r="J26" s="135"/>
      <c r="K26" s="135"/>
      <c r="L26" s="135">
        <f>ORÇAMENTO!$G$50/9</f>
        <v>88055.555555555562</v>
      </c>
      <c r="M26" s="135">
        <f>ORÇAMENTO!$G$50/9</f>
        <v>88055.555555555562</v>
      </c>
      <c r="N26" s="135">
        <f>ORÇAMENTO!$G$50/9</f>
        <v>88055.555555555562</v>
      </c>
      <c r="O26" s="135">
        <f>ORÇAMENTO!$G$50/9</f>
        <v>88055.555555555562</v>
      </c>
      <c r="P26" s="135">
        <f>ORÇAMENTO!$G$50/9</f>
        <v>88055.555555555562</v>
      </c>
      <c r="Q26" s="135">
        <f>ORÇAMENTO!$G$50/9</f>
        <v>88055.555555555562</v>
      </c>
      <c r="R26" s="135">
        <f>ORÇAMENTO!$G$50/9</f>
        <v>88055.555555555562</v>
      </c>
      <c r="S26" s="135">
        <f>ORÇAMENTO!$G$50/9</f>
        <v>88055.555555555562</v>
      </c>
      <c r="T26" s="135">
        <f>ORÇAMENTO!$G$50/9</f>
        <v>88055.555555555562</v>
      </c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11">
        <f t="shared" si="5"/>
        <v>792500</v>
      </c>
    </row>
    <row r="27" spans="1:44" ht="14.25" customHeight="1" x14ac:dyDescent="0.2">
      <c r="A27" s="11" t="s">
        <v>194</v>
      </c>
      <c r="B27" s="108" t="s">
        <v>12</v>
      </c>
      <c r="C27" s="115" t="str">
        <f>VLOOKUP(B27,ORÇAMENTO!B26:G106,2,0)</f>
        <v>ALVENARIA</v>
      </c>
      <c r="D27" s="115"/>
      <c r="E27" s="648"/>
      <c r="F27" s="143"/>
      <c r="G27" s="143"/>
      <c r="H27" s="143"/>
      <c r="I27" s="136"/>
      <c r="J27" s="136"/>
      <c r="K27" s="136"/>
      <c r="L27" s="137"/>
      <c r="M27" s="136">
        <f>M28/ORÇAMENTO!$G$54</f>
        <v>0.125</v>
      </c>
      <c r="N27" s="136">
        <f>N28/ORÇAMENTO!$G$54</f>
        <v>0.125</v>
      </c>
      <c r="O27" s="136">
        <f>O28/ORÇAMENTO!$G$54</f>
        <v>0.125</v>
      </c>
      <c r="P27" s="136">
        <f>P28/ORÇAMENTO!$G$54</f>
        <v>0.125</v>
      </c>
      <c r="Q27" s="136">
        <f>Q28/ORÇAMENTO!$G$54</f>
        <v>0.125</v>
      </c>
      <c r="R27" s="136">
        <f>R28/ORÇAMENTO!$G$54</f>
        <v>0.125</v>
      </c>
      <c r="S27" s="136">
        <f>S28/ORÇAMENTO!$G$54</f>
        <v>0.125</v>
      </c>
      <c r="T27" s="136">
        <f>T28/ORÇAMENTO!$G$54</f>
        <v>0.125</v>
      </c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10">
        <f t="shared" si="5"/>
        <v>1</v>
      </c>
    </row>
    <row r="28" spans="1:44" ht="14.25" customHeight="1" x14ac:dyDescent="0.2">
      <c r="A28" s="11" t="s">
        <v>195</v>
      </c>
      <c r="B28" s="79"/>
      <c r="C28" s="79" t="s">
        <v>292</v>
      </c>
      <c r="D28" s="79"/>
      <c r="E28" s="649"/>
      <c r="F28" s="143"/>
      <c r="G28" s="143"/>
      <c r="H28" s="143"/>
      <c r="I28" s="135"/>
      <c r="J28" s="135"/>
      <c r="K28" s="135"/>
      <c r="L28" s="135"/>
      <c r="M28" s="135">
        <f>ORÇAMENTO!$G$54/8</f>
        <v>11562.5</v>
      </c>
      <c r="N28" s="135">
        <f>ORÇAMENTO!$G$54/8</f>
        <v>11562.5</v>
      </c>
      <c r="O28" s="135">
        <f>ORÇAMENTO!$G$54/8</f>
        <v>11562.5</v>
      </c>
      <c r="P28" s="135">
        <f>ORÇAMENTO!$G$54/8</f>
        <v>11562.5</v>
      </c>
      <c r="Q28" s="135">
        <f>ORÇAMENTO!$G$54/8</f>
        <v>11562.5</v>
      </c>
      <c r="R28" s="135">
        <f>ORÇAMENTO!$G$54/8</f>
        <v>11562.5</v>
      </c>
      <c r="S28" s="135">
        <f>ORÇAMENTO!$G$54/8</f>
        <v>11562.5</v>
      </c>
      <c r="T28" s="135">
        <f>ORÇAMENTO!$G$54/8</f>
        <v>11562.5</v>
      </c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  <c r="AO28" s="135"/>
      <c r="AP28" s="135"/>
      <c r="AQ28" s="135"/>
      <c r="AR28" s="111">
        <f t="shared" si="5"/>
        <v>92500</v>
      </c>
    </row>
    <row r="29" spans="1:44" ht="14.25" customHeight="1" x14ac:dyDescent="0.2">
      <c r="A29" s="11" t="s">
        <v>194</v>
      </c>
      <c r="B29" s="108" t="s">
        <v>13</v>
      </c>
      <c r="C29" s="108" t="s">
        <v>278</v>
      </c>
      <c r="D29" s="108"/>
      <c r="E29" s="648"/>
      <c r="F29" s="143"/>
      <c r="G29" s="143"/>
      <c r="H29" s="143"/>
      <c r="I29" s="136"/>
      <c r="J29" s="136"/>
      <c r="K29" s="136"/>
      <c r="L29" s="136"/>
      <c r="M29" s="136"/>
      <c r="N29" s="137"/>
      <c r="O29" s="136"/>
      <c r="P29" s="136"/>
      <c r="Q29" s="136"/>
      <c r="R29" s="136"/>
      <c r="S29" s="136"/>
      <c r="T29" s="136">
        <f>T30/ORÇAMENTO!G56</f>
        <v>1</v>
      </c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10">
        <f t="shared" si="5"/>
        <v>1</v>
      </c>
    </row>
    <row r="30" spans="1:44" ht="14.25" customHeight="1" x14ac:dyDescent="0.2">
      <c r="A30" s="11" t="s">
        <v>195</v>
      </c>
      <c r="B30" s="79"/>
      <c r="C30" s="79" t="s">
        <v>294</v>
      </c>
      <c r="D30" s="79"/>
      <c r="E30" s="649"/>
      <c r="F30" s="143"/>
      <c r="G30" s="143"/>
      <c r="H30" s="143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135"/>
      <c r="T30" s="135">
        <f>ORÇAMENTO!G56</f>
        <v>62000</v>
      </c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11">
        <f t="shared" si="5"/>
        <v>62000</v>
      </c>
    </row>
    <row r="31" spans="1:44" ht="14.25" customHeight="1" x14ac:dyDescent="0.2">
      <c r="A31" s="11" t="s">
        <v>194</v>
      </c>
      <c r="B31" s="108" t="s">
        <v>14</v>
      </c>
      <c r="C31" s="108" t="str">
        <f>VLOOKUP(B31,ORÇAMENTO!B28:G110,2,0)</f>
        <v>IMPERMEABILIZAÇÃO</v>
      </c>
      <c r="D31" s="108"/>
      <c r="E31" s="648"/>
      <c r="F31" s="143"/>
      <c r="G31" s="143"/>
      <c r="H31" s="143"/>
      <c r="I31" s="136"/>
      <c r="J31" s="136"/>
      <c r="K31" s="136"/>
      <c r="L31" s="136"/>
      <c r="M31" s="137"/>
      <c r="N31" s="136"/>
      <c r="O31" s="136"/>
      <c r="P31" s="136"/>
      <c r="Q31" s="136">
        <f>Q32/ORÇAMENTO!$G$58</f>
        <v>0.25</v>
      </c>
      <c r="R31" s="136">
        <f>R32/ORÇAMENTO!$G$58</f>
        <v>0.25</v>
      </c>
      <c r="S31" s="136">
        <f>S32/ORÇAMENTO!$G$58</f>
        <v>0.25</v>
      </c>
      <c r="T31" s="136">
        <f>T32/ORÇAMENTO!$G$58</f>
        <v>0.25</v>
      </c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10">
        <f t="shared" si="5"/>
        <v>1</v>
      </c>
    </row>
    <row r="32" spans="1:44" ht="14.25" customHeight="1" x14ac:dyDescent="0.2">
      <c r="A32" s="11" t="s">
        <v>195</v>
      </c>
      <c r="B32" s="79"/>
      <c r="C32" s="79" t="s">
        <v>295</v>
      </c>
      <c r="D32" s="79"/>
      <c r="E32" s="649"/>
      <c r="F32" s="143"/>
      <c r="G32" s="143"/>
      <c r="H32" s="143"/>
      <c r="I32" s="135"/>
      <c r="J32" s="135"/>
      <c r="K32" s="135"/>
      <c r="L32" s="135"/>
      <c r="M32" s="135"/>
      <c r="N32" s="135"/>
      <c r="O32" s="135"/>
      <c r="P32" s="135"/>
      <c r="Q32" s="135">
        <f>ORÇAMENTO!$G$58/4</f>
        <v>4298</v>
      </c>
      <c r="R32" s="135">
        <f>ORÇAMENTO!$G$58/4</f>
        <v>4298</v>
      </c>
      <c r="S32" s="135">
        <f>ORÇAMENTO!$G$58/4</f>
        <v>4298</v>
      </c>
      <c r="T32" s="135">
        <f>ORÇAMENTO!$G$58/4</f>
        <v>4298</v>
      </c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  <c r="AI32" s="135"/>
      <c r="AJ32" s="135"/>
      <c r="AK32" s="135"/>
      <c r="AL32" s="135"/>
      <c r="AM32" s="135"/>
      <c r="AN32" s="135"/>
      <c r="AO32" s="135"/>
      <c r="AP32" s="135"/>
      <c r="AQ32" s="135"/>
      <c r="AR32" s="111">
        <f t="shared" si="5"/>
        <v>17192</v>
      </c>
    </row>
    <row r="33" spans="1:44" ht="14.25" customHeight="1" x14ac:dyDescent="0.2">
      <c r="A33" s="11" t="s">
        <v>194</v>
      </c>
      <c r="B33" s="108" t="s">
        <v>16</v>
      </c>
      <c r="C33" s="115" t="str">
        <f>VLOOKUP(B33,ORÇAMENTO!B30:G114,2,0)</f>
        <v>FORRO E SANCA EM GESSO</v>
      </c>
      <c r="D33" s="115"/>
      <c r="E33" s="648"/>
      <c r="F33" s="143"/>
      <c r="G33" s="143"/>
      <c r="H33" s="143"/>
      <c r="I33" s="136"/>
      <c r="J33" s="136"/>
      <c r="K33" s="136"/>
      <c r="L33" s="136"/>
      <c r="M33" s="136"/>
      <c r="N33" s="136">
        <f>N34/ORÇAMENTO!$G$60</f>
        <v>0.33333333333333331</v>
      </c>
      <c r="O33" s="136">
        <f>O34/ORÇAMENTO!$G$60</f>
        <v>0.33333333333333331</v>
      </c>
      <c r="P33" s="136">
        <f>P34/ORÇAMENTO!$G$60</f>
        <v>0.33333333333333331</v>
      </c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10">
        <f t="shared" si="5"/>
        <v>1</v>
      </c>
    </row>
    <row r="34" spans="1:44" ht="14.25" customHeight="1" x14ac:dyDescent="0.2">
      <c r="A34" s="11" t="s">
        <v>195</v>
      </c>
      <c r="B34" s="79"/>
      <c r="C34" s="79" t="s">
        <v>287</v>
      </c>
      <c r="D34" s="79"/>
      <c r="E34" s="649"/>
      <c r="F34" s="143"/>
      <c r="G34" s="143"/>
      <c r="H34" s="143"/>
      <c r="I34" s="135"/>
      <c r="J34" s="135"/>
      <c r="K34" s="135"/>
      <c r="L34" s="135"/>
      <c r="M34" s="135"/>
      <c r="N34" s="135">
        <f>ORÇAMENTO!$G$60/3</f>
        <v>6276</v>
      </c>
      <c r="O34" s="135">
        <f>ORÇAMENTO!$G$60/3</f>
        <v>6276</v>
      </c>
      <c r="P34" s="135">
        <f>ORÇAMENTO!$G$60/3</f>
        <v>6276</v>
      </c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11">
        <f t="shared" si="5"/>
        <v>18828</v>
      </c>
    </row>
    <row r="35" spans="1:44" ht="14.25" customHeight="1" x14ac:dyDescent="0.2">
      <c r="A35" s="11" t="s">
        <v>194</v>
      </c>
      <c r="B35" s="108" t="s">
        <v>17</v>
      </c>
      <c r="C35" s="108" t="str">
        <f>VLOOKUP(B35,ORÇAMENTO!B32:G116,2,0)</f>
        <v>PINTURA</v>
      </c>
      <c r="D35" s="108"/>
      <c r="E35" s="648"/>
      <c r="F35" s="143"/>
      <c r="G35" s="143"/>
      <c r="H35" s="143"/>
      <c r="I35" s="136"/>
      <c r="J35" s="136"/>
      <c r="K35" s="136"/>
      <c r="L35" s="136"/>
      <c r="M35" s="136"/>
      <c r="N35" s="136">
        <f>N36/ORÇAMENTO!$G$62</f>
        <v>0.11111111111111112</v>
      </c>
      <c r="O35" s="136">
        <f>O36/ORÇAMENTO!$G$62</f>
        <v>0.11111111111111112</v>
      </c>
      <c r="P35" s="136">
        <f>P36/ORÇAMENTO!$G$62</f>
        <v>0.11111111111111112</v>
      </c>
      <c r="Q35" s="136">
        <f>Q36/ORÇAMENTO!$G$62</f>
        <v>0.11111111111111112</v>
      </c>
      <c r="R35" s="136">
        <f>R36/ORÇAMENTO!$G$62</f>
        <v>0.11111111111111112</v>
      </c>
      <c r="S35" s="136">
        <f>S36/ORÇAMENTO!$G$62</f>
        <v>0.11111111111111112</v>
      </c>
      <c r="T35" s="136">
        <f>T36/ORÇAMENTO!$G$62</f>
        <v>0.11111111111111112</v>
      </c>
      <c r="U35" s="136">
        <f>U36/ORÇAMENTO!$G$62</f>
        <v>0.11111111111111112</v>
      </c>
      <c r="V35" s="136">
        <f>V36/ORÇAMENTO!$G$62</f>
        <v>0.11111111111111112</v>
      </c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10">
        <f t="shared" si="5"/>
        <v>1.0000000000000002</v>
      </c>
    </row>
    <row r="36" spans="1:44" ht="14.25" customHeight="1" x14ac:dyDescent="0.2">
      <c r="A36" s="11" t="s">
        <v>195</v>
      </c>
      <c r="B36" s="79"/>
      <c r="C36" s="79" t="s">
        <v>293</v>
      </c>
      <c r="D36" s="79"/>
      <c r="E36" s="649"/>
      <c r="F36" s="143"/>
      <c r="G36" s="143"/>
      <c r="H36" s="143"/>
      <c r="I36" s="135"/>
      <c r="J36" s="135"/>
      <c r="K36" s="135"/>
      <c r="L36" s="135"/>
      <c r="M36" s="135"/>
      <c r="N36" s="135">
        <f>ORÇAMENTO!$G$62/9</f>
        <v>4612.2222222222226</v>
      </c>
      <c r="O36" s="135">
        <f>ORÇAMENTO!$G$62/9</f>
        <v>4612.2222222222226</v>
      </c>
      <c r="P36" s="135">
        <f>ORÇAMENTO!$G$62/9</f>
        <v>4612.2222222222226</v>
      </c>
      <c r="Q36" s="135">
        <f>ORÇAMENTO!$G$62/9</f>
        <v>4612.2222222222226</v>
      </c>
      <c r="R36" s="135">
        <f>ORÇAMENTO!$G$62/9</f>
        <v>4612.2222222222226</v>
      </c>
      <c r="S36" s="135">
        <f>ORÇAMENTO!$G$62/9</f>
        <v>4612.2222222222226</v>
      </c>
      <c r="T36" s="135">
        <f>ORÇAMENTO!$G$62/9</f>
        <v>4612.2222222222226</v>
      </c>
      <c r="U36" s="135">
        <f>ORÇAMENTO!$G$62/9</f>
        <v>4612.2222222222226</v>
      </c>
      <c r="V36" s="135">
        <f>ORÇAMENTO!$G$62/9</f>
        <v>4612.2222222222226</v>
      </c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  <c r="AO36" s="135"/>
      <c r="AP36" s="135"/>
      <c r="AQ36" s="135"/>
      <c r="AR36" s="111">
        <f t="shared" si="5"/>
        <v>41510</v>
      </c>
    </row>
    <row r="37" spans="1:44" ht="14.25" customHeight="1" x14ac:dyDescent="0.2">
      <c r="A37" s="11" t="s">
        <v>194</v>
      </c>
      <c r="B37" s="108" t="s">
        <v>20</v>
      </c>
      <c r="C37" s="108" t="str">
        <f>VLOOKUP(B37,ORÇAMENTO!B43:G124,2,0)</f>
        <v>INSTALAÇÕES PREDIAIS</v>
      </c>
      <c r="D37" s="108"/>
      <c r="E37" s="648"/>
      <c r="F37" s="143"/>
      <c r="G37" s="143"/>
      <c r="H37" s="143"/>
      <c r="I37" s="136"/>
      <c r="J37" s="136"/>
      <c r="K37" s="136"/>
      <c r="L37" s="136"/>
      <c r="M37" s="136">
        <f>M38/ORÇAMENTO!$G$65</f>
        <v>0.25</v>
      </c>
      <c r="N37" s="136">
        <f>N38/ORÇAMENTO!$G$65</f>
        <v>0.25</v>
      </c>
      <c r="O37" s="136">
        <f>O38/ORÇAMENTO!$G$65</f>
        <v>0.25</v>
      </c>
      <c r="P37" s="136">
        <f>P38/ORÇAMENTO!$G$65</f>
        <v>0.25</v>
      </c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10">
        <f t="shared" si="5"/>
        <v>1</v>
      </c>
    </row>
    <row r="38" spans="1:44" ht="14.25" customHeight="1" x14ac:dyDescent="0.2">
      <c r="A38" s="11" t="s">
        <v>195</v>
      </c>
      <c r="B38" s="79"/>
      <c r="C38" s="79" t="s">
        <v>295</v>
      </c>
      <c r="D38" s="79"/>
      <c r="E38" s="649"/>
      <c r="F38" s="143"/>
      <c r="G38" s="143"/>
      <c r="H38" s="143"/>
      <c r="I38" s="135"/>
      <c r="J38" s="135"/>
      <c r="K38" s="135"/>
      <c r="L38" s="135"/>
      <c r="M38" s="135">
        <f>ORÇAMENTO!$G$65/4</f>
        <v>220000</v>
      </c>
      <c r="N38" s="135">
        <f>ORÇAMENTO!$G$65/4</f>
        <v>220000</v>
      </c>
      <c r="O38" s="135">
        <f>ORÇAMENTO!$G$65/4</f>
        <v>220000</v>
      </c>
      <c r="P38" s="135">
        <f>ORÇAMENTO!$G$65/4</f>
        <v>220000</v>
      </c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11">
        <f t="shared" si="5"/>
        <v>880000</v>
      </c>
    </row>
    <row r="39" spans="1:44" ht="14.25" customHeight="1" x14ac:dyDescent="0.2">
      <c r="A39" s="11" t="s">
        <v>194</v>
      </c>
      <c r="B39" s="108" t="s">
        <v>296</v>
      </c>
      <c r="C39" s="115" t="str">
        <f>VLOOKUP(B39,ORÇAMENTO!B51:G132,2,0)</f>
        <v>ELEVADORES PROVISÓRIOS</v>
      </c>
      <c r="D39" s="115"/>
      <c r="E39" s="648"/>
      <c r="F39" s="143"/>
      <c r="G39" s="143"/>
      <c r="H39" s="143"/>
      <c r="I39" s="136"/>
      <c r="J39" s="136"/>
      <c r="K39" s="136"/>
      <c r="L39" s="136"/>
      <c r="M39" s="136"/>
      <c r="N39" s="136"/>
      <c r="O39" s="136">
        <f>O40/ORÇAMENTO!G72</f>
        <v>1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10">
        <f t="shared" si="5"/>
        <v>1</v>
      </c>
    </row>
    <row r="40" spans="1:44" ht="14.25" customHeight="1" x14ac:dyDescent="0.2">
      <c r="A40" s="11" t="s">
        <v>195</v>
      </c>
      <c r="B40" s="79"/>
      <c r="C40" s="79" t="s">
        <v>300</v>
      </c>
      <c r="D40" s="79"/>
      <c r="E40" s="649"/>
      <c r="F40" s="143"/>
      <c r="G40" s="143"/>
      <c r="H40" s="143"/>
      <c r="I40" s="135"/>
      <c r="J40" s="135"/>
      <c r="K40" s="135"/>
      <c r="L40" s="135"/>
      <c r="M40" s="135"/>
      <c r="N40" s="135"/>
      <c r="O40" s="135">
        <f>ORÇAMENTO!G72</f>
        <v>40000</v>
      </c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  <c r="AO40" s="135"/>
      <c r="AP40" s="135"/>
      <c r="AQ40" s="135"/>
      <c r="AR40" s="111">
        <f t="shared" si="5"/>
        <v>40000</v>
      </c>
    </row>
    <row r="41" spans="1:44" ht="14.25" customHeight="1" x14ac:dyDescent="0.2">
      <c r="A41" s="11" t="s">
        <v>194</v>
      </c>
      <c r="B41" s="108" t="s">
        <v>22</v>
      </c>
      <c r="C41" s="108" t="str">
        <f>VLOOKUP(B41,ORÇAMENTO!B53:G134,2,0)</f>
        <v>SERVIÇOS COMPLEMENTARES</v>
      </c>
      <c r="D41" s="108"/>
      <c r="E41" s="648"/>
      <c r="F41" s="143"/>
      <c r="G41" s="143"/>
      <c r="H41" s="143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>
        <f>W42/ORÇAMENTO!$G$74</f>
        <v>0.5</v>
      </c>
      <c r="X41" s="136">
        <f>X42/ORÇAMENTO!$G$74</f>
        <v>0.5</v>
      </c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10">
        <f t="shared" si="5"/>
        <v>1</v>
      </c>
    </row>
    <row r="42" spans="1:44" ht="14.25" customHeight="1" x14ac:dyDescent="0.2">
      <c r="A42" s="11" t="s">
        <v>195</v>
      </c>
      <c r="B42" s="79"/>
      <c r="C42" s="79" t="s">
        <v>286</v>
      </c>
      <c r="D42" s="79"/>
      <c r="E42" s="649"/>
      <c r="F42" s="143"/>
      <c r="G42" s="143"/>
      <c r="H42" s="143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>
        <f>ORÇAMENTO!$G$74/2</f>
        <v>12950</v>
      </c>
      <c r="X42" s="135">
        <f>ORÇAMENTO!$G$74/2</f>
        <v>12950</v>
      </c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11">
        <f t="shared" si="5"/>
        <v>25900</v>
      </c>
    </row>
    <row r="43" spans="1:44" ht="7.5" customHeight="1" x14ac:dyDescent="0.2">
      <c r="A43" s="11"/>
      <c r="B43" s="9"/>
      <c r="C43" s="9"/>
      <c r="D43" s="9"/>
      <c r="E43" s="9"/>
      <c r="F43" s="9"/>
      <c r="G43" s="9"/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2"/>
    </row>
    <row r="44" spans="1:44" ht="16.5" customHeight="1" x14ac:dyDescent="0.2">
      <c r="A44" s="11"/>
      <c r="C44" s="104" t="s">
        <v>196</v>
      </c>
      <c r="D44" s="104"/>
      <c r="E44" s="104"/>
      <c r="F44" s="104"/>
      <c r="G44" s="104"/>
      <c r="H44" s="104"/>
      <c r="I44" s="105">
        <f t="shared" ref="I44:Y44" si="6">I45/$AR$46</f>
        <v>5.6409519797061158E-2</v>
      </c>
      <c r="J44" s="105">
        <f t="shared" si="6"/>
        <v>8.8596957010807099E-3</v>
      </c>
      <c r="K44" s="105">
        <f t="shared" si="6"/>
        <v>1.4173235647758653E-2</v>
      </c>
      <c r="L44" s="105">
        <f t="shared" si="6"/>
        <v>4.4842636017486642E-2</v>
      </c>
      <c r="M44" s="105">
        <f t="shared" si="6"/>
        <v>0.14374700307054078</v>
      </c>
      <c r="N44" s="105">
        <f t="shared" si="6"/>
        <v>0.14839755196002802</v>
      </c>
      <c r="O44" s="105">
        <f t="shared" si="6"/>
        <v>0.16548224694355154</v>
      </c>
      <c r="P44" s="105">
        <f t="shared" si="6"/>
        <v>0.14839755196002802</v>
      </c>
      <c r="Q44" s="105">
        <f t="shared" si="6"/>
        <v>5.3586891383713406E-2</v>
      </c>
      <c r="R44" s="105">
        <f t="shared" si="6"/>
        <v>5.3586891383713406E-2</v>
      </c>
      <c r="S44" s="105">
        <f t="shared" si="6"/>
        <v>5.3541857195530278E-2</v>
      </c>
      <c r="T44" s="105">
        <f t="shared" si="6"/>
        <v>8.0023134419991732E-2</v>
      </c>
      <c r="U44" s="105">
        <f t="shared" si="6"/>
        <v>9.1575043690914817E-3</v>
      </c>
      <c r="V44" s="105">
        <f t="shared" si="6"/>
        <v>8.731940148592807E-3</v>
      </c>
      <c r="W44" s="105">
        <f t="shared" si="6"/>
        <v>5.5311700009157399E-3</v>
      </c>
      <c r="X44" s="105">
        <f t="shared" si="6"/>
        <v>5.5311700009157399E-3</v>
      </c>
      <c r="Y44" s="105">
        <f t="shared" si="6"/>
        <v>0</v>
      </c>
      <c r="Z44" s="105">
        <f t="shared" ref="Z44:AQ44" si="7">Z45/$AR$46</f>
        <v>0</v>
      </c>
      <c r="AA44" s="105">
        <f t="shared" si="7"/>
        <v>0</v>
      </c>
      <c r="AB44" s="105">
        <f t="shared" si="7"/>
        <v>0</v>
      </c>
      <c r="AC44" s="105">
        <f t="shared" si="7"/>
        <v>0</v>
      </c>
      <c r="AD44" s="105">
        <f t="shared" si="7"/>
        <v>0</v>
      </c>
      <c r="AE44" s="105">
        <f t="shared" si="7"/>
        <v>0</v>
      </c>
      <c r="AF44" s="105">
        <f t="shared" si="7"/>
        <v>0</v>
      </c>
      <c r="AG44" s="105">
        <f t="shared" si="7"/>
        <v>0</v>
      </c>
      <c r="AH44" s="105">
        <f t="shared" si="7"/>
        <v>0</v>
      </c>
      <c r="AI44" s="105">
        <f t="shared" si="7"/>
        <v>0</v>
      </c>
      <c r="AJ44" s="105">
        <f t="shared" si="7"/>
        <v>0</v>
      </c>
      <c r="AK44" s="105">
        <f t="shared" si="7"/>
        <v>0</v>
      </c>
      <c r="AL44" s="105">
        <f t="shared" si="7"/>
        <v>0</v>
      </c>
      <c r="AM44" s="105">
        <f t="shared" si="7"/>
        <v>0</v>
      </c>
      <c r="AN44" s="105">
        <f t="shared" si="7"/>
        <v>0</v>
      </c>
      <c r="AO44" s="105">
        <f t="shared" si="7"/>
        <v>0</v>
      </c>
      <c r="AP44" s="105">
        <f t="shared" si="7"/>
        <v>0</v>
      </c>
      <c r="AQ44" s="105">
        <f t="shared" si="7"/>
        <v>0</v>
      </c>
      <c r="AR44" s="105">
        <f>SUM(I44:X44)</f>
        <v>1</v>
      </c>
    </row>
    <row r="45" spans="1:44" ht="16.5" customHeight="1" x14ac:dyDescent="0.2">
      <c r="A45" s="11"/>
      <c r="C45" s="104" t="s">
        <v>197</v>
      </c>
      <c r="D45" s="104"/>
      <c r="E45" s="104"/>
      <c r="F45" s="104"/>
      <c r="G45" s="104"/>
      <c r="H45" s="104"/>
      <c r="I45" s="106">
        <f>I10+I12+I14+I16+I18+I20+I22+I24+I26+I28</f>
        <v>132070.29999999999</v>
      </c>
      <c r="J45" s="106">
        <f>J14+J16+J18+J20+J22+J24</f>
        <v>20743</v>
      </c>
      <c r="K45" s="106">
        <f>K16+K18+K20+K22+K24+K26</f>
        <v>33183.467803030304</v>
      </c>
      <c r="L45" s="106">
        <f>L16+L18+L20+L22+L26</f>
        <v>104989.02335858587</v>
      </c>
      <c r="M45" s="106">
        <f>M16+M18+M20+M22+M26+M28+M38</f>
        <v>336551.5233585859</v>
      </c>
      <c r="N45" s="106">
        <f>N16+N18+N20+N22+N26+N28+N34+N36+N38</f>
        <v>347439.74558080808</v>
      </c>
      <c r="O45" s="106">
        <f>O16+O18+O20+O22+O26+O28+O34+O36+O38+O40</f>
        <v>387439.74558080808</v>
      </c>
      <c r="P45" s="106">
        <f>P16+P18+P20+P22+P26+P28+P32+P34+P36+P38</f>
        <v>347439.74558080808</v>
      </c>
      <c r="Q45" s="106">
        <f>Q16+Q18+Q20+Q22+Q26+Q28+Q32+Q36</f>
        <v>125461.74558080808</v>
      </c>
      <c r="R45" s="106">
        <f>R16+R18+R20+R22+R26+R28+R32+R36</f>
        <v>125461.74558080808</v>
      </c>
      <c r="S45" s="106">
        <f>S16+S18+S20+S26+S28+S32+S34+S36+S38</f>
        <v>125356.30808080808</v>
      </c>
      <c r="T45" s="106">
        <f>T16+T18+T20+T26+T28+T30+T32+T36</f>
        <v>187356.30808080808</v>
      </c>
      <c r="U45" s="106">
        <f>U16+U18+U20+U26+U28+U32+U34+U36</f>
        <v>21440.252525252523</v>
      </c>
      <c r="V45" s="106">
        <f>V16+V28+V32+V34+V36+V40</f>
        <v>20443.888888888891</v>
      </c>
      <c r="W45" s="106">
        <f>W30+W34+W36+W38+W40+W42</f>
        <v>12950</v>
      </c>
      <c r="X45" s="106">
        <f>X34+X36+X38+X40+X42</f>
        <v>12950</v>
      </c>
      <c r="Y45" s="106">
        <f>Y34+Y36</f>
        <v>0</v>
      </c>
      <c r="Z45" s="106">
        <f t="shared" ref="Z45:AQ45" si="8">Z34+Z36</f>
        <v>0</v>
      </c>
      <c r="AA45" s="106">
        <f t="shared" si="8"/>
        <v>0</v>
      </c>
      <c r="AB45" s="106">
        <f t="shared" si="8"/>
        <v>0</v>
      </c>
      <c r="AC45" s="106">
        <f t="shared" si="8"/>
        <v>0</v>
      </c>
      <c r="AD45" s="106">
        <f t="shared" si="8"/>
        <v>0</v>
      </c>
      <c r="AE45" s="106">
        <f t="shared" si="8"/>
        <v>0</v>
      </c>
      <c r="AF45" s="106">
        <f t="shared" si="8"/>
        <v>0</v>
      </c>
      <c r="AG45" s="106">
        <f t="shared" si="8"/>
        <v>0</v>
      </c>
      <c r="AH45" s="106">
        <f t="shared" si="8"/>
        <v>0</v>
      </c>
      <c r="AI45" s="106">
        <f t="shared" si="8"/>
        <v>0</v>
      </c>
      <c r="AJ45" s="106">
        <f t="shared" si="8"/>
        <v>0</v>
      </c>
      <c r="AK45" s="106">
        <f t="shared" si="8"/>
        <v>0</v>
      </c>
      <c r="AL45" s="106">
        <f t="shared" si="8"/>
        <v>0</v>
      </c>
      <c r="AM45" s="106">
        <f t="shared" si="8"/>
        <v>0</v>
      </c>
      <c r="AN45" s="106">
        <f t="shared" si="8"/>
        <v>0</v>
      </c>
      <c r="AO45" s="106">
        <f t="shared" si="8"/>
        <v>0</v>
      </c>
      <c r="AP45" s="106">
        <f t="shared" si="8"/>
        <v>0</v>
      </c>
      <c r="AQ45" s="106">
        <f t="shared" si="8"/>
        <v>0</v>
      </c>
      <c r="AR45" s="106">
        <f>AR10+AR12+AR14+AR16+AR18+AR20+AR22+AR24+AR26+AR28+AR30+AR32+AR34+AR36+AR38+AR40+AR42</f>
        <v>2341276.7999999998</v>
      </c>
    </row>
    <row r="46" spans="1:44" ht="16.5" customHeight="1" x14ac:dyDescent="0.2">
      <c r="A46" s="11"/>
      <c r="C46" s="104" t="s">
        <v>231</v>
      </c>
      <c r="D46" s="104"/>
      <c r="E46" s="104"/>
      <c r="F46" s="104"/>
      <c r="G46" s="104"/>
      <c r="H46" s="104"/>
      <c r="I46" s="107">
        <f>I44</f>
        <v>5.6409519797061158E-2</v>
      </c>
      <c r="J46" s="107">
        <f>J44+I46</f>
        <v>6.5269215498141867E-2</v>
      </c>
      <c r="K46" s="107">
        <f t="shared" ref="K46:U46" si="9">K44+J46</f>
        <v>7.9442451145900525E-2</v>
      </c>
      <c r="L46" s="107">
        <f t="shared" si="9"/>
        <v>0.12428508716338717</v>
      </c>
      <c r="M46" s="107">
        <f>M44+L46</f>
        <v>0.26803209023392793</v>
      </c>
      <c r="N46" s="107">
        <f t="shared" si="9"/>
        <v>0.41642964219395595</v>
      </c>
      <c r="O46" s="107">
        <f t="shared" si="9"/>
        <v>0.58191188913750747</v>
      </c>
      <c r="P46" s="107">
        <f t="shared" si="9"/>
        <v>0.73030944109753548</v>
      </c>
      <c r="Q46" s="107">
        <f t="shared" si="9"/>
        <v>0.7838963324812489</v>
      </c>
      <c r="R46" s="107">
        <f t="shared" si="9"/>
        <v>0.83748322386496232</v>
      </c>
      <c r="S46" s="107">
        <f t="shared" si="9"/>
        <v>0.89102508106049261</v>
      </c>
      <c r="T46" s="107">
        <f t="shared" si="9"/>
        <v>0.97104821548048437</v>
      </c>
      <c r="U46" s="107">
        <f t="shared" si="9"/>
        <v>0.98020571984957583</v>
      </c>
      <c r="V46" s="107">
        <f>V44+U46</f>
        <v>0.98893765999816863</v>
      </c>
      <c r="W46" s="107">
        <f>W44+V46</f>
        <v>0.99446882999908437</v>
      </c>
      <c r="X46" s="107">
        <f>X44+W46</f>
        <v>1</v>
      </c>
      <c r="Y46" s="107">
        <f>Y44+X46</f>
        <v>1</v>
      </c>
      <c r="Z46" s="107">
        <f t="shared" ref="Z46:AQ46" si="10">Z44+Y46</f>
        <v>1</v>
      </c>
      <c r="AA46" s="107">
        <f t="shared" si="10"/>
        <v>1</v>
      </c>
      <c r="AB46" s="107">
        <f t="shared" si="10"/>
        <v>1</v>
      </c>
      <c r="AC46" s="107">
        <f t="shared" si="10"/>
        <v>1</v>
      </c>
      <c r="AD46" s="107">
        <f t="shared" si="10"/>
        <v>1</v>
      </c>
      <c r="AE46" s="107">
        <f t="shared" si="10"/>
        <v>1</v>
      </c>
      <c r="AF46" s="107">
        <f t="shared" si="10"/>
        <v>1</v>
      </c>
      <c r="AG46" s="107">
        <f t="shared" si="10"/>
        <v>1</v>
      </c>
      <c r="AH46" s="107">
        <f t="shared" si="10"/>
        <v>1</v>
      </c>
      <c r="AI46" s="107">
        <f t="shared" si="10"/>
        <v>1</v>
      </c>
      <c r="AJ46" s="107">
        <f t="shared" si="10"/>
        <v>1</v>
      </c>
      <c r="AK46" s="107">
        <f t="shared" si="10"/>
        <v>1</v>
      </c>
      <c r="AL46" s="107">
        <f t="shared" si="10"/>
        <v>1</v>
      </c>
      <c r="AM46" s="107">
        <f t="shared" si="10"/>
        <v>1</v>
      </c>
      <c r="AN46" s="107">
        <f t="shared" si="10"/>
        <v>1</v>
      </c>
      <c r="AO46" s="107">
        <f t="shared" si="10"/>
        <v>1</v>
      </c>
      <c r="AP46" s="107">
        <f t="shared" si="10"/>
        <v>1</v>
      </c>
      <c r="AQ46" s="107">
        <f t="shared" si="10"/>
        <v>1</v>
      </c>
      <c r="AR46" s="106">
        <v>2341276.7999999998</v>
      </c>
    </row>
    <row r="47" spans="1:44" x14ac:dyDescent="0.2">
      <c r="A47" s="11"/>
      <c r="C47" s="104" t="s">
        <v>301</v>
      </c>
      <c r="D47" s="138">
        <f>COUNTIF(I45:X45,"&lt;&gt;0")</f>
        <v>16</v>
      </c>
      <c r="E47" s="141"/>
      <c r="F47" s="141"/>
      <c r="G47" s="141"/>
      <c r="H47" s="141"/>
      <c r="I47" s="71"/>
      <c r="J47" s="71"/>
      <c r="K47" s="71"/>
      <c r="L47" s="71"/>
      <c r="M47" s="71"/>
      <c r="N47" s="71"/>
      <c r="O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</row>
    <row r="48" spans="1:44" x14ac:dyDescent="0.2">
      <c r="A48" s="11"/>
      <c r="C48" s="104" t="s">
        <v>302</v>
      </c>
      <c r="D48" s="139">
        <f>COUNT(I45:X45)</f>
        <v>16</v>
      </c>
      <c r="E48" s="142"/>
      <c r="F48" s="142"/>
      <c r="G48" s="142"/>
      <c r="H48" s="142"/>
      <c r="Z48" s="114"/>
    </row>
    <row r="49" spans="1:26" x14ac:dyDescent="0.2">
      <c r="A49" s="11"/>
      <c r="K49" s="116"/>
    </row>
    <row r="50" spans="1:26" x14ac:dyDescent="0.2">
      <c r="A50" s="11"/>
      <c r="J50" s="116"/>
      <c r="K50" s="4"/>
      <c r="Z50" s="4"/>
    </row>
    <row r="51" spans="1:26" x14ac:dyDescent="0.2">
      <c r="A51" s="11"/>
    </row>
    <row r="52" spans="1:26" x14ac:dyDescent="0.2">
      <c r="A52" s="11"/>
      <c r="L52" s="116"/>
    </row>
    <row r="53" spans="1:26" x14ac:dyDescent="0.2">
      <c r="A53" s="11"/>
    </row>
    <row r="54" spans="1:26" x14ac:dyDescent="0.2">
      <c r="A54" s="11"/>
    </row>
    <row r="55" spans="1:26" x14ac:dyDescent="0.2">
      <c r="A55" s="11"/>
    </row>
    <row r="56" spans="1:26" x14ac:dyDescent="0.2">
      <c r="A56" s="11"/>
    </row>
    <row r="57" spans="1:26" x14ac:dyDescent="0.2">
      <c r="A57" s="11"/>
    </row>
    <row r="58" spans="1:26" x14ac:dyDescent="0.2">
      <c r="A58" s="11"/>
    </row>
    <row r="59" spans="1:26" x14ac:dyDescent="0.2">
      <c r="A59" s="11"/>
    </row>
    <row r="60" spans="1:26" x14ac:dyDescent="0.2">
      <c r="A60" s="11"/>
    </row>
    <row r="61" spans="1:26" x14ac:dyDescent="0.2">
      <c r="A61" s="11"/>
    </row>
    <row r="62" spans="1:26" x14ac:dyDescent="0.2">
      <c r="A62" s="11"/>
    </row>
    <row r="63" spans="1:26" x14ac:dyDescent="0.2">
      <c r="A63" s="11"/>
    </row>
    <row r="64" spans="1:26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</sheetData>
  <mergeCells count="23">
    <mergeCell ref="E37:E38"/>
    <mergeCell ref="E39:E40"/>
    <mergeCell ref="E41:E42"/>
    <mergeCell ref="E27:E28"/>
    <mergeCell ref="E29:E30"/>
    <mergeCell ref="E31:E32"/>
    <mergeCell ref="E33:E34"/>
    <mergeCell ref="E35:E36"/>
    <mergeCell ref="E17:E18"/>
    <mergeCell ref="E19:E20"/>
    <mergeCell ref="E21:E22"/>
    <mergeCell ref="E23:E24"/>
    <mergeCell ref="E25:E26"/>
    <mergeCell ref="E13:E14"/>
    <mergeCell ref="E15:E16"/>
    <mergeCell ref="I6:O6"/>
    <mergeCell ref="P6:V6"/>
    <mergeCell ref="W6:AC6"/>
    <mergeCell ref="AD6:AJ6"/>
    <mergeCell ref="AK6:AQ6"/>
    <mergeCell ref="B1:Z1"/>
    <mergeCell ref="E9:E10"/>
    <mergeCell ref="E11:E12"/>
  </mergeCells>
  <phoneticPr fontId="4" type="noConversion"/>
  <conditionalFormatting sqref="I10:AQ10">
    <cfRule type="cellIs" dxfId="375" priority="21" operator="greaterThan">
      <formula>0</formula>
    </cfRule>
  </conditionalFormatting>
  <conditionalFormatting sqref="I12:AQ12">
    <cfRule type="cellIs" dxfId="374" priority="20" operator="greaterThan">
      <formula>0</formula>
    </cfRule>
  </conditionalFormatting>
  <conditionalFormatting sqref="I14:AQ14">
    <cfRule type="cellIs" dxfId="373" priority="19" operator="greaterThan">
      <formula>0</formula>
    </cfRule>
  </conditionalFormatting>
  <conditionalFormatting sqref="I16:AQ16">
    <cfRule type="cellIs" dxfId="372" priority="18" operator="greaterThan">
      <formula>0</formula>
    </cfRule>
  </conditionalFormatting>
  <conditionalFormatting sqref="I18:AQ18">
    <cfRule type="cellIs" dxfId="371" priority="17" operator="greaterThan">
      <formula>0</formula>
    </cfRule>
  </conditionalFormatting>
  <conditionalFormatting sqref="I20:AQ20">
    <cfRule type="cellIs" dxfId="370" priority="16" operator="greaterThan">
      <formula>0</formula>
    </cfRule>
  </conditionalFormatting>
  <conditionalFormatting sqref="I22:AQ22">
    <cfRule type="cellIs" dxfId="369" priority="15" operator="greaterThan">
      <formula>0</formula>
    </cfRule>
  </conditionalFormatting>
  <conditionalFormatting sqref="I24:AQ24">
    <cfRule type="cellIs" dxfId="368" priority="14" operator="greaterThan">
      <formula>0</formula>
    </cfRule>
  </conditionalFormatting>
  <conditionalFormatting sqref="I26:AQ26">
    <cfRule type="cellIs" dxfId="367" priority="13" operator="greaterThan">
      <formula>0</formula>
    </cfRule>
  </conditionalFormatting>
  <conditionalFormatting sqref="I28:AQ28">
    <cfRule type="cellIs" dxfId="366" priority="12" operator="greaterThan">
      <formula>0</formula>
    </cfRule>
  </conditionalFormatting>
  <conditionalFormatting sqref="I30:AQ30">
    <cfRule type="cellIs" dxfId="365" priority="11" operator="greaterThan">
      <formula>0</formula>
    </cfRule>
  </conditionalFormatting>
  <conditionalFormatting sqref="I32:AQ32">
    <cfRule type="cellIs" dxfId="364" priority="10" operator="greaterThan">
      <formula>0</formula>
    </cfRule>
  </conditionalFormatting>
  <conditionalFormatting sqref="I34:AQ34">
    <cfRule type="cellIs" dxfId="363" priority="9" operator="greaterThan">
      <formula>0</formula>
    </cfRule>
  </conditionalFormatting>
  <conditionalFormatting sqref="I36:AQ36">
    <cfRule type="cellIs" dxfId="362" priority="8" operator="greaterThan">
      <formula>0</formula>
    </cfRule>
  </conditionalFormatting>
  <conditionalFormatting sqref="I38:AQ38">
    <cfRule type="cellIs" dxfId="361" priority="7" operator="greaterThan">
      <formula>0</formula>
    </cfRule>
  </conditionalFormatting>
  <conditionalFormatting sqref="I40:AQ40">
    <cfRule type="cellIs" dxfId="360" priority="6" operator="greaterThan">
      <formula>0</formula>
    </cfRule>
  </conditionalFormatting>
  <conditionalFormatting sqref="I42:AQ42">
    <cfRule type="cellIs" dxfId="359" priority="5" operator="greaterThan">
      <formula>0</formula>
    </cfRule>
  </conditionalFormatting>
  <conditionalFormatting sqref="E9:E42">
    <cfRule type="cellIs" dxfId="358" priority="1" operator="equal">
      <formula>"Interrompido"</formula>
    </cfRule>
    <cfRule type="cellIs" dxfId="357" priority="2" operator="equal">
      <formula>"Cancelado"</formula>
    </cfRule>
    <cfRule type="cellIs" dxfId="356" priority="3" operator="equal">
      <formula>"Em execução"</formula>
    </cfRule>
    <cfRule type="cellIs" dxfId="355" priority="4" operator="equal">
      <formula>"Finalizado"</formula>
    </cfRule>
  </conditionalFormatting>
  <dataValidations disablePrompts="1" count="1">
    <dataValidation type="list" allowBlank="1" showInputMessage="1" showErrorMessage="1" sqref="E11 E13 E15 E17 E19 E21 E23 E25 E27 E29 E31 E33 E35 E37 E39 E41">
      <formula1>"Não iniciado,Finalizado,Em execução,Interrompido,Cancelado"</formula1>
    </dataValidation>
  </dataValidations>
  <printOptions horizontalCentered="1" verticalCentered="1"/>
  <pageMargins left="0.19685039370078741" right="0.19685039370078741" top="0.19685039370078741" bottom="0.19685039370078741" header="0.51181102362204722" footer="0.51181102362204722"/>
  <pageSetup scale="45" orientation="landscape" r:id="rId1"/>
  <headerFooter alignWithMargins="0"/>
  <rowBreaks count="1" manualBreakCount="1">
    <brk id="47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7</xdr:col>
                    <xdr:colOff>1171575</xdr:colOff>
                    <xdr:row>2</xdr:row>
                    <xdr:rowOff>161925</xdr:rowOff>
                  </from>
                  <to>
                    <xdr:col>43</xdr:col>
                    <xdr:colOff>209550</xdr:colOff>
                    <xdr:row>3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1:AA41"/>
  <sheetViews>
    <sheetView zoomScale="70" zoomScaleNormal="70" workbookViewId="0">
      <selection activeCell="K5" sqref="K5"/>
    </sheetView>
  </sheetViews>
  <sheetFormatPr defaultRowHeight="12.75" x14ac:dyDescent="0.2"/>
  <cols>
    <col min="1" max="1" width="9" style="3" customWidth="1"/>
    <col min="2" max="2" width="6.7109375" style="3" customWidth="1"/>
    <col min="3" max="5" width="20.85546875" style="3" customWidth="1"/>
    <col min="6" max="6" width="9.5703125" style="3" bestFit="1" customWidth="1"/>
    <col min="7" max="10" width="11.28515625" style="3" customWidth="1"/>
    <col min="11" max="11" width="10.7109375" style="3" bestFit="1" customWidth="1"/>
    <col min="12" max="13" width="11.28515625" style="3" customWidth="1"/>
    <col min="14" max="14" width="12.7109375" style="3" customWidth="1"/>
    <col min="15" max="15" width="10.140625" style="3" bestFit="1" customWidth="1"/>
    <col min="16" max="16" width="9.85546875" style="3" bestFit="1" customWidth="1"/>
    <col min="17" max="17" width="9.28515625" style="3" bestFit="1" customWidth="1"/>
    <col min="18" max="16384" width="9.140625" style="3"/>
  </cols>
  <sheetData>
    <row r="1" spans="1:27" x14ac:dyDescent="0.2">
      <c r="A1" s="124" t="s">
        <v>283</v>
      </c>
      <c r="B1" s="125"/>
      <c r="C1" s="125"/>
      <c r="D1" s="125">
        <v>0</v>
      </c>
      <c r="E1" s="125">
        <f>'FÍSICO x FINANCEIRO'!I46</f>
        <v>5.6409519797061158E-2</v>
      </c>
      <c r="F1" s="125">
        <f>'FÍSICO x FINANCEIRO'!J46</f>
        <v>6.5269215498141867E-2</v>
      </c>
      <c r="G1" s="125">
        <f>'FÍSICO x FINANCEIRO'!K46</f>
        <v>7.9442451145900525E-2</v>
      </c>
      <c r="H1" s="125">
        <f>'FÍSICO x FINANCEIRO'!L46</f>
        <v>0.12428508716338717</v>
      </c>
      <c r="I1" s="125">
        <f>'FÍSICO x FINANCEIRO'!M46</f>
        <v>0.26803209023392793</v>
      </c>
      <c r="J1" s="125">
        <f>'FÍSICO x FINANCEIRO'!N46</f>
        <v>0.41642964219395595</v>
      </c>
      <c r="K1" s="125">
        <f>'FÍSICO x FINANCEIRO'!O46</f>
        <v>0.58191188913750747</v>
      </c>
      <c r="L1" s="125">
        <f>'FÍSICO x FINANCEIRO'!P46</f>
        <v>0.73030944109753548</v>
      </c>
      <c r="M1" s="125">
        <f>'FÍSICO x FINANCEIRO'!Q46</f>
        <v>0.7838963324812489</v>
      </c>
      <c r="N1" s="125">
        <f>'FÍSICO x FINANCEIRO'!R46</f>
        <v>0.83748322386496232</v>
      </c>
      <c r="O1" s="125">
        <f>'FÍSICO x FINANCEIRO'!S46</f>
        <v>0.89102508106049261</v>
      </c>
      <c r="P1" s="125">
        <f>'FÍSICO x FINANCEIRO'!T46</f>
        <v>0.97104821548048437</v>
      </c>
      <c r="Q1" s="125">
        <f>'FÍSICO x FINANCEIRO'!U46</f>
        <v>0.98020571984957583</v>
      </c>
      <c r="R1" s="125">
        <f>'FÍSICO x FINANCEIRO'!V46</f>
        <v>0.98893765999816863</v>
      </c>
      <c r="S1" s="125">
        <f>'FÍSICO x FINANCEIRO'!W46</f>
        <v>0.99446882999908437</v>
      </c>
      <c r="T1" s="125">
        <f>'FÍSICO x FINANCEIRO'!X46</f>
        <v>1</v>
      </c>
      <c r="U1" s="125">
        <f>'FÍSICO x FINANCEIRO'!Y46</f>
        <v>1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  <c r="Z1" s="125" t="e">
        <f>'FÍSICO x FINANCEIRO'!#REF!</f>
        <v>#REF!</v>
      </c>
      <c r="AA1" s="117"/>
    </row>
    <row r="2" spans="1:27" x14ac:dyDescent="0.2">
      <c r="A2" s="124" t="s">
        <v>284</v>
      </c>
      <c r="B2" s="126"/>
      <c r="C2" s="127"/>
      <c r="D2" s="127" t="s">
        <v>211</v>
      </c>
      <c r="E2" s="127">
        <f>'FÍSICO x FINANCEIRO'!I7</f>
        <v>44670</v>
      </c>
      <c r="F2" s="127">
        <f>'FÍSICO x FINANCEIRO'!J7</f>
        <v>44671</v>
      </c>
      <c r="G2" s="127">
        <f>'FÍSICO x FINANCEIRO'!K7</f>
        <v>44672</v>
      </c>
      <c r="H2" s="127">
        <f>'FÍSICO x FINANCEIRO'!L7</f>
        <v>44673</v>
      </c>
      <c r="I2" s="127">
        <f>'FÍSICO x FINANCEIRO'!M7</f>
        <v>44674</v>
      </c>
      <c r="J2" s="127">
        <f>'FÍSICO x FINANCEIRO'!N7</f>
        <v>44675</v>
      </c>
      <c r="K2" s="127">
        <f>'FÍSICO x FINANCEIRO'!O7</f>
        <v>44676</v>
      </c>
      <c r="L2" s="127">
        <f ca="1">'FÍSICO x FINANCEIRO'!P7</f>
        <v>44751</v>
      </c>
      <c r="M2" s="127">
        <f ca="1">'FÍSICO x FINANCEIRO'!Q7</f>
        <v>44752</v>
      </c>
      <c r="N2" s="127">
        <f ca="1">'FÍSICO x FINANCEIRO'!R7</f>
        <v>44753</v>
      </c>
      <c r="O2" s="127">
        <f ca="1">'FÍSICO x FINANCEIRO'!S7</f>
        <v>44754</v>
      </c>
      <c r="P2" s="127">
        <f ca="1">'FÍSICO x FINANCEIRO'!T7</f>
        <v>44755</v>
      </c>
      <c r="Q2" s="127">
        <f ca="1">'FÍSICO x FINANCEIRO'!U7</f>
        <v>44756</v>
      </c>
      <c r="R2" s="127">
        <f ca="1">'FÍSICO x FINANCEIRO'!V7</f>
        <v>44757</v>
      </c>
      <c r="S2" s="131">
        <f ca="1">'FÍSICO x FINANCEIRO'!W7</f>
        <v>44751</v>
      </c>
      <c r="T2" s="131">
        <f ca="1">'FÍSICO x FINANCEIRO'!X7</f>
        <v>44752</v>
      </c>
      <c r="U2" s="124"/>
      <c r="V2" s="124"/>
      <c r="W2" s="124"/>
      <c r="X2" s="124"/>
      <c r="Y2" s="124"/>
      <c r="Z2" s="124"/>
      <c r="AA2" s="123"/>
    </row>
    <row r="3" spans="1:27" ht="13.5" thickBot="1" x14ac:dyDescent="0.25">
      <c r="B3" s="13"/>
      <c r="C3" s="118"/>
      <c r="D3" s="118"/>
      <c r="E3" s="118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7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  <c r="O4" s="14"/>
      <c r="P4" s="14"/>
      <c r="Q4" s="14"/>
    </row>
    <row r="5" spans="1:27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  <c r="O5" s="14"/>
      <c r="P5" s="14"/>
      <c r="Q5" s="14"/>
    </row>
    <row r="6" spans="1:27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  <c r="O6" s="14"/>
      <c r="P6" s="14"/>
      <c r="Q6" s="14"/>
    </row>
    <row r="7" spans="1:27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  <c r="O7" s="14"/>
      <c r="P7" s="14"/>
      <c r="Q7" s="14"/>
    </row>
    <row r="8" spans="1:27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1:27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1:27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1:27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1:27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1:27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1:27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1:27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1:27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honeticPr fontId="4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orientation="landscape" r:id="rId1"/>
  <headerFooter alignWithMargins="0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rgb="FFFFC000"/>
  </sheetPr>
  <dimension ref="B1:Y41"/>
  <sheetViews>
    <sheetView showGridLines="0" zoomScale="70" zoomScaleNormal="70" workbookViewId="0">
      <selection activeCell="P19" sqref="P19"/>
    </sheetView>
  </sheetViews>
  <sheetFormatPr defaultRowHeight="12.75" x14ac:dyDescent="0.2"/>
  <cols>
    <col min="2" max="2" width="6.7109375" customWidth="1"/>
    <col min="3" max="5" width="20.85546875" customWidth="1"/>
    <col min="6" max="6" width="12.42578125" bestFit="1" customWidth="1"/>
    <col min="7" max="10" width="11.28515625" customWidth="1"/>
    <col min="11" max="11" width="13.42578125" bestFit="1" customWidth="1"/>
    <col min="12" max="13" width="11.28515625" customWidth="1"/>
    <col min="14" max="14" width="12.7109375" customWidth="1"/>
    <col min="15" max="16" width="13.42578125" bestFit="1" customWidth="1"/>
    <col min="17" max="17" width="12.28515625" bestFit="1" customWidth="1"/>
    <col min="18" max="18" width="12.42578125" bestFit="1" customWidth="1"/>
    <col min="19" max="20" width="12.28515625" bestFit="1" customWidth="1"/>
  </cols>
  <sheetData>
    <row r="1" spans="2:25" x14ac:dyDescent="0.2">
      <c r="C1" s="132">
        <v>0</v>
      </c>
      <c r="D1" s="125">
        <f>'FÍSICO x FINANCEIRO'!I45</f>
        <v>132070.29999999999</v>
      </c>
      <c r="E1" s="125">
        <f>'FÍSICO x FINANCEIRO'!J45</f>
        <v>20743</v>
      </c>
      <c r="F1" s="125">
        <f>'FÍSICO x FINANCEIRO'!K45</f>
        <v>33183.467803030304</v>
      </c>
      <c r="G1" s="125">
        <f>'FÍSICO x FINANCEIRO'!L45</f>
        <v>104989.02335858587</v>
      </c>
      <c r="H1" s="125">
        <f>'FÍSICO x FINANCEIRO'!M45</f>
        <v>336551.5233585859</v>
      </c>
      <c r="I1" s="125">
        <f>'FÍSICO x FINANCEIRO'!N45</f>
        <v>347439.74558080808</v>
      </c>
      <c r="J1" s="125">
        <f>'FÍSICO x FINANCEIRO'!O45</f>
        <v>387439.74558080808</v>
      </c>
      <c r="K1" s="125">
        <f>'FÍSICO x FINANCEIRO'!P45</f>
        <v>347439.74558080808</v>
      </c>
      <c r="L1" s="125">
        <f>'FÍSICO x FINANCEIRO'!Q45</f>
        <v>125461.74558080808</v>
      </c>
      <c r="M1" s="125">
        <f>'FÍSICO x FINANCEIRO'!R45</f>
        <v>125461.74558080808</v>
      </c>
      <c r="N1" s="125">
        <f>'FÍSICO x FINANCEIRO'!S45</f>
        <v>125356.30808080808</v>
      </c>
      <c r="O1" s="125">
        <f>'FÍSICO x FINANCEIRO'!T45</f>
        <v>187356.30808080808</v>
      </c>
      <c r="P1" s="125">
        <f>'FÍSICO x FINANCEIRO'!U45</f>
        <v>21440.252525252523</v>
      </c>
      <c r="Q1" s="125">
        <f>'FÍSICO x FINANCEIRO'!V45</f>
        <v>20443.888888888891</v>
      </c>
      <c r="R1" s="125">
        <f>'FÍSICO x FINANCEIRO'!W45</f>
        <v>12950</v>
      </c>
      <c r="S1" s="125">
        <f>'FÍSICO x FINANCEIRO'!Y45</f>
        <v>0</v>
      </c>
      <c r="T1" s="125">
        <f>'FÍSICO x FINANCEIRO'!Y45</f>
        <v>0</v>
      </c>
      <c r="U1" s="125" t="e">
        <f>'FÍSICO x FINANCEIRO'!#REF!</f>
        <v>#REF!</v>
      </c>
      <c r="V1" s="125" t="e">
        <f>'FÍSICO x FINANCEIRO'!#REF!</f>
        <v>#REF!</v>
      </c>
      <c r="W1" s="125" t="e">
        <f>'FÍSICO x FINANCEIRO'!#REF!</f>
        <v>#REF!</v>
      </c>
      <c r="X1" s="125" t="e">
        <f>'FÍSICO x FINANCEIRO'!#REF!</f>
        <v>#REF!</v>
      </c>
      <c r="Y1" s="125" t="e">
        <f>'FÍSICO x FINANCEIRO'!#REF!</f>
        <v>#REF!</v>
      </c>
    </row>
    <row r="2" spans="2:25" x14ac:dyDescent="0.2">
      <c r="C2" s="127" t="s">
        <v>211</v>
      </c>
      <c r="D2" s="127">
        <f>'FÍSICO x FINANCEIRO'!I7</f>
        <v>44670</v>
      </c>
      <c r="E2" s="127">
        <f>'FÍSICO x FINANCEIRO'!J7</f>
        <v>44671</v>
      </c>
      <c r="F2" s="127">
        <f>'FÍSICO x FINANCEIRO'!K7</f>
        <v>44672</v>
      </c>
      <c r="G2" s="127">
        <f>'FÍSICO x FINANCEIRO'!L7</f>
        <v>44673</v>
      </c>
      <c r="H2" s="127">
        <f>'FÍSICO x FINANCEIRO'!M7</f>
        <v>44674</v>
      </c>
      <c r="I2" s="127">
        <f>'FÍSICO x FINANCEIRO'!N7</f>
        <v>44675</v>
      </c>
      <c r="J2" s="127">
        <f>'FÍSICO x FINANCEIRO'!O7</f>
        <v>44676</v>
      </c>
      <c r="K2" s="127">
        <f ca="1">'FÍSICO x FINANCEIRO'!P7</f>
        <v>44751</v>
      </c>
      <c r="L2" s="127">
        <f ca="1">'FÍSICO x FINANCEIRO'!Q7</f>
        <v>44752</v>
      </c>
      <c r="M2" s="127">
        <f ca="1">'FÍSICO x FINANCEIRO'!R7</f>
        <v>44753</v>
      </c>
      <c r="N2" s="127">
        <f ca="1">'FÍSICO x FINANCEIRO'!S7</f>
        <v>44754</v>
      </c>
      <c r="O2" s="127">
        <f ca="1">'FÍSICO x FINANCEIRO'!T7</f>
        <v>44755</v>
      </c>
      <c r="P2" s="127">
        <f ca="1">'FÍSICO x FINANCEIRO'!U7</f>
        <v>44756</v>
      </c>
      <c r="Q2" s="127">
        <f ca="1">'FÍSICO x FINANCEIRO'!V7</f>
        <v>44757</v>
      </c>
      <c r="R2" s="131">
        <f ca="1">'FÍSICO x FINANCEIRO'!W7</f>
        <v>44751</v>
      </c>
      <c r="S2" s="131">
        <f ca="1">'FÍSICO x FINANCEIRO'!X7</f>
        <v>44752</v>
      </c>
      <c r="T2" s="124"/>
      <c r="U2" s="124"/>
      <c r="V2" s="124"/>
      <c r="W2" s="124"/>
      <c r="X2" s="124"/>
      <c r="Y2" s="124"/>
    </row>
    <row r="3" spans="2:25" ht="13.5" thickBot="1" x14ac:dyDescent="0.25"/>
    <row r="4" spans="2:25" x14ac:dyDescent="0.2">
      <c r="B4" s="15"/>
      <c r="C4" s="119"/>
      <c r="D4" s="119"/>
      <c r="E4" s="119"/>
      <c r="F4" s="16"/>
      <c r="G4" s="16"/>
      <c r="H4" s="16"/>
      <c r="I4" s="16"/>
      <c r="J4" s="16"/>
      <c r="K4" s="16"/>
      <c r="L4" s="16"/>
      <c r="M4" s="16"/>
      <c r="N4" s="17"/>
    </row>
    <row r="5" spans="2:25" ht="14.25" x14ac:dyDescent="0.2">
      <c r="B5" s="18"/>
      <c r="C5" s="120" t="s">
        <v>281</v>
      </c>
      <c r="D5" s="120"/>
      <c r="E5" s="120"/>
      <c r="F5" s="113"/>
      <c r="G5" s="113"/>
      <c r="H5" s="113"/>
      <c r="I5" s="14"/>
      <c r="J5" s="14"/>
      <c r="K5" s="14"/>
      <c r="L5" s="14"/>
      <c r="M5" s="14"/>
      <c r="N5" s="19"/>
    </row>
    <row r="6" spans="2:25" x14ac:dyDescent="0.2">
      <c r="B6" s="18"/>
      <c r="C6" s="121"/>
      <c r="D6" s="121"/>
      <c r="E6" s="121"/>
      <c r="F6" s="14"/>
      <c r="G6" s="14"/>
      <c r="H6" s="14"/>
      <c r="I6" s="14"/>
      <c r="J6" s="14"/>
      <c r="K6" s="14"/>
      <c r="L6" s="14"/>
      <c r="M6" s="14"/>
      <c r="N6" s="19"/>
    </row>
    <row r="7" spans="2:25" ht="14.25" x14ac:dyDescent="0.2">
      <c r="B7" s="18"/>
      <c r="C7" s="120" t="s">
        <v>282</v>
      </c>
      <c r="D7" s="120"/>
      <c r="E7" s="120"/>
      <c r="F7" s="14"/>
      <c r="G7" s="14"/>
      <c r="H7" s="14"/>
      <c r="I7" s="14"/>
      <c r="J7" s="14"/>
      <c r="K7" s="14"/>
      <c r="L7" s="14"/>
      <c r="M7" s="14"/>
      <c r="N7" s="19"/>
    </row>
    <row r="8" spans="2:25" x14ac:dyDescent="0.2">
      <c r="B8" s="20"/>
      <c r="C8" s="122"/>
      <c r="D8" s="122"/>
      <c r="E8" s="122"/>
      <c r="F8" s="21"/>
      <c r="G8" s="21"/>
      <c r="H8" s="21"/>
      <c r="I8" s="21"/>
      <c r="J8" s="21"/>
      <c r="K8" s="21"/>
      <c r="L8" s="21"/>
      <c r="M8" s="21"/>
      <c r="N8" s="22"/>
    </row>
    <row r="9" spans="2:25" x14ac:dyDescent="0.2">
      <c r="B9" s="20"/>
      <c r="C9" s="122"/>
      <c r="D9" s="122"/>
      <c r="E9" s="122"/>
      <c r="F9" s="21"/>
      <c r="G9" s="21"/>
      <c r="H9" s="21"/>
      <c r="I9" s="21"/>
      <c r="J9" s="21"/>
      <c r="K9" s="21"/>
      <c r="L9" s="21"/>
      <c r="M9" s="21"/>
      <c r="N9" s="22"/>
    </row>
    <row r="10" spans="2:25" x14ac:dyDescent="0.2">
      <c r="B10" s="20"/>
      <c r="C10" s="122"/>
      <c r="D10" s="122"/>
      <c r="E10" s="122"/>
      <c r="F10" s="21"/>
      <c r="G10" s="21"/>
      <c r="H10" s="21"/>
      <c r="I10" s="21"/>
      <c r="J10" s="21"/>
      <c r="K10" s="21"/>
      <c r="L10" s="21"/>
      <c r="M10" s="21"/>
      <c r="N10" s="22"/>
    </row>
    <row r="11" spans="2:25" x14ac:dyDescent="0.2">
      <c r="B11" s="20"/>
      <c r="C11" s="122"/>
      <c r="D11" s="122"/>
      <c r="E11" s="122"/>
      <c r="F11" s="21"/>
      <c r="G11" s="21"/>
      <c r="H11" s="21"/>
      <c r="I11" s="21"/>
      <c r="J11" s="21"/>
      <c r="K11" s="21"/>
      <c r="L11" s="21"/>
      <c r="M11" s="21"/>
      <c r="N11" s="22"/>
    </row>
    <row r="12" spans="2:25" x14ac:dyDescent="0.2">
      <c r="B12" s="20"/>
      <c r="C12" s="122"/>
      <c r="D12" s="122"/>
      <c r="E12" s="122"/>
      <c r="F12" s="21"/>
      <c r="G12" s="21"/>
      <c r="H12" s="21"/>
      <c r="I12" s="21"/>
      <c r="J12" s="21"/>
      <c r="K12" s="21"/>
      <c r="L12" s="21"/>
      <c r="M12" s="21"/>
      <c r="N12" s="22"/>
    </row>
    <row r="13" spans="2:25" x14ac:dyDescent="0.2">
      <c r="B13" s="20"/>
      <c r="C13" s="122"/>
      <c r="D13" s="122"/>
      <c r="E13" s="122"/>
      <c r="F13" s="21"/>
      <c r="G13" s="21"/>
      <c r="H13" s="21"/>
      <c r="I13" s="21"/>
      <c r="J13" s="21"/>
      <c r="K13" s="21"/>
      <c r="L13" s="21"/>
      <c r="M13" s="21"/>
      <c r="N13" s="22"/>
    </row>
    <row r="14" spans="2:25" x14ac:dyDescent="0.2">
      <c r="B14" s="20"/>
      <c r="C14" s="122"/>
      <c r="D14" s="122"/>
      <c r="E14" s="122"/>
      <c r="F14" s="21"/>
      <c r="G14" s="21"/>
      <c r="H14" s="21"/>
      <c r="I14" s="21"/>
      <c r="J14" s="21"/>
      <c r="K14" s="21"/>
      <c r="L14" s="21"/>
      <c r="M14" s="21"/>
      <c r="N14" s="22"/>
    </row>
    <row r="15" spans="2:25" x14ac:dyDescent="0.2">
      <c r="B15" s="20"/>
      <c r="C15" s="122"/>
      <c r="D15" s="122"/>
      <c r="E15" s="122"/>
      <c r="F15" s="21"/>
      <c r="G15" s="21"/>
      <c r="H15" s="21"/>
      <c r="I15" s="21"/>
      <c r="J15" s="21"/>
      <c r="K15" s="21"/>
      <c r="L15" s="21"/>
      <c r="M15" s="21"/>
      <c r="N15" s="22"/>
    </row>
    <row r="16" spans="2:25" x14ac:dyDescent="0.2">
      <c r="B16" s="20"/>
      <c r="C16" s="122"/>
      <c r="D16" s="122"/>
      <c r="E16" s="122"/>
      <c r="F16" s="21"/>
      <c r="G16" s="21"/>
      <c r="H16" s="21"/>
      <c r="I16" s="21"/>
      <c r="J16" s="21"/>
      <c r="K16" s="21"/>
      <c r="L16" s="21"/>
      <c r="M16" s="21"/>
      <c r="N16" s="22"/>
    </row>
    <row r="17" spans="2:14" x14ac:dyDescent="0.2">
      <c r="B17" s="20"/>
      <c r="C17" s="122"/>
      <c r="D17" s="122"/>
      <c r="E17" s="122"/>
      <c r="F17" s="21"/>
      <c r="G17" s="21"/>
      <c r="H17" s="21"/>
      <c r="I17" s="21"/>
      <c r="J17" s="21"/>
      <c r="K17" s="21"/>
      <c r="L17" s="21"/>
      <c r="M17" s="21"/>
      <c r="N17" s="22"/>
    </row>
    <row r="18" spans="2:14" x14ac:dyDescent="0.2">
      <c r="B18" s="20"/>
      <c r="C18" s="122"/>
      <c r="D18" s="122"/>
      <c r="E18" s="122"/>
      <c r="F18" s="21"/>
      <c r="G18" s="21"/>
      <c r="H18" s="21"/>
      <c r="I18" s="21"/>
      <c r="J18" s="21"/>
      <c r="K18" s="21"/>
      <c r="L18" s="21"/>
      <c r="M18" s="21"/>
      <c r="N18" s="22"/>
    </row>
    <row r="19" spans="2:14" x14ac:dyDescent="0.2">
      <c r="B19" s="20"/>
      <c r="C19" s="122"/>
      <c r="D19" s="122"/>
      <c r="E19" s="122"/>
      <c r="F19" s="21"/>
      <c r="G19" s="21"/>
      <c r="H19" s="21"/>
      <c r="I19" s="21"/>
      <c r="J19" s="21"/>
      <c r="K19" s="21"/>
      <c r="L19" s="21"/>
      <c r="M19" s="21"/>
      <c r="N19" s="22"/>
    </row>
    <row r="20" spans="2:14" x14ac:dyDescent="0.2">
      <c r="B20" s="20"/>
      <c r="C20" s="122"/>
      <c r="D20" s="122"/>
      <c r="E20" s="122"/>
      <c r="F20" s="21"/>
      <c r="G20" s="21"/>
      <c r="H20" s="21"/>
      <c r="I20" s="21"/>
      <c r="J20" s="21"/>
      <c r="K20" s="21"/>
      <c r="L20" s="21"/>
      <c r="M20" s="21"/>
      <c r="N20" s="22"/>
    </row>
    <row r="21" spans="2:14" x14ac:dyDescent="0.2">
      <c r="B21" s="20"/>
      <c r="C21" s="122"/>
      <c r="D21" s="122"/>
      <c r="E21" s="122"/>
      <c r="F21" s="21"/>
      <c r="G21" s="21"/>
      <c r="H21" s="21"/>
      <c r="I21" s="21"/>
      <c r="J21" s="21"/>
      <c r="K21" s="21"/>
      <c r="L21" s="21"/>
      <c r="M21" s="21"/>
      <c r="N21" s="22"/>
    </row>
    <row r="22" spans="2:14" x14ac:dyDescent="0.2">
      <c r="B22" s="20"/>
      <c r="C22" s="122"/>
      <c r="D22" s="122"/>
      <c r="E22" s="122"/>
      <c r="F22" s="21"/>
      <c r="G22" s="21"/>
      <c r="H22" s="21"/>
      <c r="I22" s="21"/>
      <c r="J22" s="21"/>
      <c r="K22" s="21"/>
      <c r="L22" s="21"/>
      <c r="M22" s="21"/>
      <c r="N22" s="22"/>
    </row>
    <row r="23" spans="2:14" x14ac:dyDescent="0.2">
      <c r="B23" s="20"/>
      <c r="C23" s="122"/>
      <c r="D23" s="122"/>
      <c r="E23" s="122"/>
      <c r="F23" s="21"/>
      <c r="G23" s="21"/>
      <c r="H23" s="21"/>
      <c r="I23" s="21"/>
      <c r="J23" s="21"/>
      <c r="K23" s="21"/>
      <c r="L23" s="21"/>
      <c r="M23" s="21"/>
      <c r="N23" s="22"/>
    </row>
    <row r="24" spans="2:14" x14ac:dyDescent="0.2">
      <c r="B24" s="20"/>
      <c r="C24" s="122"/>
      <c r="D24" s="122"/>
      <c r="E24" s="122"/>
      <c r="F24" s="21"/>
      <c r="G24" s="21"/>
      <c r="H24" s="21"/>
      <c r="I24" s="21"/>
      <c r="J24" s="21"/>
      <c r="K24" s="21"/>
      <c r="L24" s="21"/>
      <c r="M24" s="21"/>
      <c r="N24" s="22"/>
    </row>
    <row r="25" spans="2:14" x14ac:dyDescent="0.2">
      <c r="B25" s="20"/>
      <c r="C25" s="122"/>
      <c r="D25" s="122"/>
      <c r="E25" s="122"/>
      <c r="F25" s="21"/>
      <c r="G25" s="21"/>
      <c r="H25" s="21"/>
      <c r="I25" s="21"/>
      <c r="J25" s="21"/>
      <c r="K25" s="21"/>
      <c r="L25" s="21"/>
      <c r="M25" s="21"/>
      <c r="N25" s="22"/>
    </row>
    <row r="26" spans="2:14" x14ac:dyDescent="0.2">
      <c r="B26" s="20"/>
      <c r="C26" s="122"/>
      <c r="D26" s="122"/>
      <c r="E26" s="122"/>
      <c r="F26" s="21"/>
      <c r="G26" s="21"/>
      <c r="H26" s="21"/>
      <c r="I26" s="21"/>
      <c r="J26" s="21"/>
      <c r="K26" s="21"/>
      <c r="L26" s="21"/>
      <c r="M26" s="21"/>
      <c r="N26" s="22"/>
    </row>
    <row r="27" spans="2:14" x14ac:dyDescent="0.2">
      <c r="B27" s="20"/>
      <c r="C27" s="122"/>
      <c r="D27" s="122"/>
      <c r="E27" s="122"/>
      <c r="F27" s="21"/>
      <c r="G27" s="21"/>
      <c r="H27" s="21"/>
      <c r="I27" s="21"/>
      <c r="J27" s="21"/>
      <c r="K27" s="21"/>
      <c r="L27" s="21"/>
      <c r="M27" s="21"/>
      <c r="N27" s="22"/>
    </row>
    <row r="28" spans="2:14" x14ac:dyDescent="0.2">
      <c r="B28" s="20"/>
      <c r="C28" s="122"/>
      <c r="D28" s="122"/>
      <c r="E28" s="122"/>
      <c r="F28" s="21"/>
      <c r="G28" s="21"/>
      <c r="H28" s="21"/>
      <c r="I28" s="21"/>
      <c r="J28" s="21"/>
      <c r="K28" s="21"/>
      <c r="L28" s="21"/>
      <c r="M28" s="21"/>
      <c r="N28" s="22"/>
    </row>
    <row r="29" spans="2:14" x14ac:dyDescent="0.2">
      <c r="B29" s="20"/>
      <c r="C29" s="122"/>
      <c r="D29" s="122"/>
      <c r="E29" s="122"/>
      <c r="F29" s="21"/>
      <c r="G29" s="21"/>
      <c r="H29" s="21"/>
      <c r="I29" s="21"/>
      <c r="J29" s="21"/>
      <c r="K29" s="21"/>
      <c r="L29" s="21"/>
      <c r="M29" s="21"/>
      <c r="N29" s="22"/>
    </row>
    <row r="30" spans="2:14" x14ac:dyDescent="0.2">
      <c r="B30" s="20"/>
      <c r="C30" s="122"/>
      <c r="D30" s="122"/>
      <c r="E30" s="122"/>
      <c r="F30" s="21"/>
      <c r="G30" s="21"/>
      <c r="H30" s="21"/>
      <c r="I30" s="21"/>
      <c r="J30" s="21"/>
      <c r="K30" s="21"/>
      <c r="L30" s="21"/>
      <c r="M30" s="21"/>
      <c r="N30" s="22"/>
    </row>
    <row r="31" spans="2:14" x14ac:dyDescent="0.2">
      <c r="B31" s="20"/>
      <c r="C31" s="122"/>
      <c r="D31" s="122"/>
      <c r="E31" s="122"/>
      <c r="F31" s="21"/>
      <c r="G31" s="21"/>
      <c r="H31" s="21"/>
      <c r="I31" s="21"/>
      <c r="J31" s="21"/>
      <c r="K31" s="21"/>
      <c r="L31" s="21"/>
      <c r="M31" s="21"/>
      <c r="N31" s="22"/>
    </row>
    <row r="32" spans="2:14" x14ac:dyDescent="0.2">
      <c r="B32" s="20"/>
      <c r="C32" s="122"/>
      <c r="D32" s="122"/>
      <c r="E32" s="122"/>
      <c r="F32" s="21"/>
      <c r="G32" s="21"/>
      <c r="H32" s="21"/>
      <c r="I32" s="21"/>
      <c r="J32" s="21"/>
      <c r="K32" s="21"/>
      <c r="L32" s="21"/>
      <c r="M32" s="21"/>
      <c r="N32" s="22"/>
    </row>
    <row r="33" spans="2:14" x14ac:dyDescent="0.2">
      <c r="B33" s="20"/>
      <c r="C33" s="122"/>
      <c r="D33" s="122"/>
      <c r="E33" s="122"/>
      <c r="F33" s="21"/>
      <c r="G33" s="21"/>
      <c r="H33" s="21"/>
      <c r="I33" s="21"/>
      <c r="J33" s="21"/>
      <c r="K33" s="21"/>
      <c r="L33" s="21"/>
      <c r="M33" s="21"/>
      <c r="N33" s="22"/>
    </row>
    <row r="34" spans="2:14" x14ac:dyDescent="0.2">
      <c r="B34" s="20"/>
      <c r="C34" s="122"/>
      <c r="D34" s="122"/>
      <c r="E34" s="122"/>
      <c r="F34" s="21"/>
      <c r="G34" s="21"/>
      <c r="H34" s="21"/>
      <c r="I34" s="21"/>
      <c r="J34" s="21"/>
      <c r="K34" s="21"/>
      <c r="L34" s="21"/>
      <c r="M34" s="21"/>
      <c r="N34" s="22"/>
    </row>
    <row r="35" spans="2:14" x14ac:dyDescent="0.2">
      <c r="B35" s="20"/>
      <c r="C35" s="122"/>
      <c r="D35" s="122"/>
      <c r="E35" s="122"/>
      <c r="F35" s="21"/>
      <c r="G35" s="21"/>
      <c r="H35" s="21"/>
      <c r="I35" s="21"/>
      <c r="J35" s="21"/>
      <c r="K35" s="21"/>
      <c r="L35" s="21"/>
      <c r="M35" s="21"/>
      <c r="N35" s="22"/>
    </row>
    <row r="36" spans="2:14" x14ac:dyDescent="0.2">
      <c r="B36" s="20"/>
      <c r="C36" s="122"/>
      <c r="D36" s="122"/>
      <c r="E36" s="122"/>
      <c r="F36" s="21"/>
      <c r="G36" s="21"/>
      <c r="H36" s="21"/>
      <c r="I36" s="21"/>
      <c r="J36" s="21"/>
      <c r="K36" s="21"/>
      <c r="L36" s="21"/>
      <c r="M36" s="21"/>
      <c r="N36" s="22"/>
    </row>
    <row r="37" spans="2:14" x14ac:dyDescent="0.2">
      <c r="B37" s="20"/>
      <c r="C37" s="122"/>
      <c r="D37" s="122"/>
      <c r="E37" s="122"/>
      <c r="F37" s="21"/>
      <c r="G37" s="21"/>
      <c r="H37" s="21"/>
      <c r="I37" s="21"/>
      <c r="J37" s="21"/>
      <c r="K37" s="21"/>
      <c r="L37" s="21"/>
      <c r="M37" s="21"/>
      <c r="N37" s="22"/>
    </row>
    <row r="38" spans="2:14" x14ac:dyDescent="0.2"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2"/>
    </row>
    <row r="39" spans="2:14" x14ac:dyDescent="0.2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2"/>
    </row>
    <row r="40" spans="2:14" x14ac:dyDescent="0.2"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2"/>
    </row>
    <row r="41" spans="2:14" ht="13.5" thickBot="1" x14ac:dyDescent="0.25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AR24"/>
  <sheetViews>
    <sheetView workbookViewId="0">
      <selection activeCell="J6" sqref="J6"/>
    </sheetView>
  </sheetViews>
  <sheetFormatPr defaultRowHeight="12.75" x14ac:dyDescent="0.2"/>
  <cols>
    <col min="2" max="2" width="12.28515625" bestFit="1" customWidth="1"/>
    <col min="3" max="3" width="10.140625" bestFit="1" customWidth="1"/>
    <col min="4" max="4" width="10.140625" customWidth="1"/>
    <col min="5" max="5" width="7.85546875" bestFit="1" customWidth="1"/>
    <col min="6" max="6" width="10.140625" bestFit="1" customWidth="1"/>
    <col min="7" max="7" width="10.140625" customWidth="1"/>
    <col min="8" max="8" width="8" customWidth="1"/>
    <col min="9" max="9" width="9" customWidth="1"/>
    <col min="10" max="22" width="3" bestFit="1" customWidth="1"/>
    <col min="23" max="43" width="3.140625" customWidth="1"/>
    <col min="44" max="44" width="3" bestFit="1" customWidth="1"/>
  </cols>
  <sheetData>
    <row r="5" spans="2:44" ht="13.5" thickBot="1" x14ac:dyDescent="0.25"/>
    <row r="6" spans="2:44" ht="13.5" thickBot="1" x14ac:dyDescent="0.25">
      <c r="B6" s="152" t="s">
        <v>313</v>
      </c>
      <c r="C6" s="162" t="s">
        <v>327</v>
      </c>
      <c r="D6" s="657" t="str">
        <f>CUST_Geral_M_OBRA!D6</f>
        <v>Reforma de imóvel em Jacarepaguá</v>
      </c>
      <c r="E6" s="658"/>
      <c r="F6" s="658"/>
      <c r="G6" s="658"/>
      <c r="H6" s="658"/>
      <c r="I6" s="659"/>
      <c r="J6" s="191">
        <v>56</v>
      </c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91"/>
      <c r="X6" s="191"/>
      <c r="Y6" s="191"/>
      <c r="Z6" s="191"/>
      <c r="AA6" s="191"/>
      <c r="AB6" s="191"/>
      <c r="AC6" s="191"/>
      <c r="AD6" s="191"/>
      <c r="AE6" s="191"/>
      <c r="AF6" s="191"/>
      <c r="AG6" s="191"/>
      <c r="AH6" s="191"/>
      <c r="AI6" s="191"/>
      <c r="AJ6" s="191"/>
      <c r="AK6" s="191"/>
      <c r="AL6" s="191"/>
      <c r="AM6" s="191"/>
      <c r="AN6" s="191"/>
      <c r="AO6" s="191"/>
      <c r="AP6" s="191"/>
      <c r="AQ6" s="191"/>
      <c r="AR6" s="192"/>
    </row>
    <row r="7" spans="2:44" x14ac:dyDescent="0.2">
      <c r="B7" s="153">
        <v>44670</v>
      </c>
      <c r="C7" s="161" t="s">
        <v>321</v>
      </c>
      <c r="D7" s="660" t="str">
        <f>CUST_Geral_M_OBRA!D7</f>
        <v>Rua Cassiopeia, n° 86, Taquara - RJ</v>
      </c>
      <c r="E7" s="661"/>
      <c r="F7" s="661"/>
      <c r="G7" s="661"/>
      <c r="H7" s="661"/>
      <c r="I7" s="662"/>
      <c r="J7" s="653">
        <f>J8</f>
        <v>44726</v>
      </c>
      <c r="K7" s="653"/>
      <c r="L7" s="653"/>
      <c r="M7" s="653"/>
      <c r="N7" s="653"/>
      <c r="O7" s="653"/>
      <c r="P7" s="654"/>
      <c r="Q7" s="652">
        <f>Q8</f>
        <v>44733</v>
      </c>
      <c r="R7" s="653"/>
      <c r="S7" s="653"/>
      <c r="T7" s="653"/>
      <c r="U7" s="653"/>
      <c r="V7" s="653"/>
      <c r="W7" s="654"/>
      <c r="X7" s="652">
        <f t="shared" ref="X7" si="0">X8</f>
        <v>44740</v>
      </c>
      <c r="Y7" s="653"/>
      <c r="Z7" s="653"/>
      <c r="AA7" s="653"/>
      <c r="AB7" s="653"/>
      <c r="AC7" s="653"/>
      <c r="AD7" s="654"/>
      <c r="AE7" s="652">
        <f t="shared" ref="AE7" si="1">AE8</f>
        <v>44747</v>
      </c>
      <c r="AF7" s="653"/>
      <c r="AG7" s="653"/>
      <c r="AH7" s="653"/>
      <c r="AI7" s="653"/>
      <c r="AJ7" s="653"/>
      <c r="AK7" s="654"/>
      <c r="AL7" s="652">
        <f t="shared" ref="AL7" si="2">AL8</f>
        <v>44754</v>
      </c>
      <c r="AM7" s="653"/>
      <c r="AN7" s="653"/>
      <c r="AO7" s="653"/>
      <c r="AP7" s="653"/>
      <c r="AQ7" s="653"/>
      <c r="AR7" s="654"/>
    </row>
    <row r="8" spans="2:44" x14ac:dyDescent="0.2">
      <c r="B8" s="650" t="s">
        <v>309</v>
      </c>
      <c r="C8" s="651" t="s">
        <v>307</v>
      </c>
      <c r="D8" s="651" t="s">
        <v>308</v>
      </c>
      <c r="E8" s="651" t="s">
        <v>310</v>
      </c>
      <c r="F8" s="655" t="s">
        <v>311</v>
      </c>
      <c r="G8" s="655" t="s">
        <v>312</v>
      </c>
      <c r="H8" s="655" t="s">
        <v>314</v>
      </c>
      <c r="I8" s="656" t="s">
        <v>315</v>
      </c>
      <c r="J8" s="193">
        <f>B7+J6</f>
        <v>44726</v>
      </c>
      <c r="K8" s="194">
        <f>J8+1</f>
        <v>44727</v>
      </c>
      <c r="L8" s="195">
        <f t="shared" ref="L8:W8" si="3">K8+1</f>
        <v>44728</v>
      </c>
      <c r="M8" s="194">
        <f t="shared" si="3"/>
        <v>44729</v>
      </c>
      <c r="N8" s="195">
        <f t="shared" si="3"/>
        <v>44730</v>
      </c>
      <c r="O8" s="194">
        <f t="shared" si="3"/>
        <v>44731</v>
      </c>
      <c r="P8" s="196">
        <f t="shared" si="3"/>
        <v>44732</v>
      </c>
      <c r="Q8" s="197">
        <f t="shared" si="3"/>
        <v>44733</v>
      </c>
      <c r="R8" s="195">
        <f t="shared" si="3"/>
        <v>44734</v>
      </c>
      <c r="S8" s="194">
        <f t="shared" si="3"/>
        <v>44735</v>
      </c>
      <c r="T8" s="195">
        <f t="shared" si="3"/>
        <v>44736</v>
      </c>
      <c r="U8" s="194">
        <f t="shared" si="3"/>
        <v>44737</v>
      </c>
      <c r="V8" s="195">
        <f t="shared" si="3"/>
        <v>44738</v>
      </c>
      <c r="W8" s="198">
        <f t="shared" si="3"/>
        <v>44739</v>
      </c>
      <c r="X8" s="199">
        <f t="shared" ref="X8:AR8" si="4">W8+1</f>
        <v>44740</v>
      </c>
      <c r="Y8" s="194">
        <f t="shared" si="4"/>
        <v>44741</v>
      </c>
      <c r="Z8" s="195">
        <f t="shared" si="4"/>
        <v>44742</v>
      </c>
      <c r="AA8" s="194">
        <f t="shared" si="4"/>
        <v>44743</v>
      </c>
      <c r="AB8" s="195">
        <f t="shared" si="4"/>
        <v>44744</v>
      </c>
      <c r="AC8" s="194">
        <f t="shared" si="4"/>
        <v>44745</v>
      </c>
      <c r="AD8" s="196">
        <f t="shared" si="4"/>
        <v>44746</v>
      </c>
      <c r="AE8" s="197">
        <f t="shared" si="4"/>
        <v>44747</v>
      </c>
      <c r="AF8" s="195">
        <f t="shared" si="4"/>
        <v>44748</v>
      </c>
      <c r="AG8" s="194">
        <f t="shared" si="4"/>
        <v>44749</v>
      </c>
      <c r="AH8" s="195">
        <f t="shared" si="4"/>
        <v>44750</v>
      </c>
      <c r="AI8" s="194">
        <f t="shared" si="4"/>
        <v>44751</v>
      </c>
      <c r="AJ8" s="195">
        <f t="shared" si="4"/>
        <v>44752</v>
      </c>
      <c r="AK8" s="198">
        <f t="shared" si="4"/>
        <v>44753</v>
      </c>
      <c r="AL8" s="199">
        <f t="shared" si="4"/>
        <v>44754</v>
      </c>
      <c r="AM8" s="194">
        <f t="shared" si="4"/>
        <v>44755</v>
      </c>
      <c r="AN8" s="195">
        <f t="shared" si="4"/>
        <v>44756</v>
      </c>
      <c r="AO8" s="194">
        <f t="shared" si="4"/>
        <v>44757</v>
      </c>
      <c r="AP8" s="195">
        <f t="shared" si="4"/>
        <v>44758</v>
      </c>
      <c r="AQ8" s="194">
        <f t="shared" si="4"/>
        <v>44759</v>
      </c>
      <c r="AR8" s="196">
        <f t="shared" si="4"/>
        <v>44760</v>
      </c>
    </row>
    <row r="9" spans="2:44" ht="13.5" thickBot="1" x14ac:dyDescent="0.25">
      <c r="B9" s="650"/>
      <c r="C9" s="651"/>
      <c r="D9" s="651"/>
      <c r="E9" s="651"/>
      <c r="F9" s="655"/>
      <c r="G9" s="655"/>
      <c r="H9" s="655"/>
      <c r="I9" s="656"/>
      <c r="J9" s="200" t="str">
        <f>UPPER(LEFT(TEXT(J8,"DDD"),1))</f>
        <v>T</v>
      </c>
      <c r="K9" s="201" t="str">
        <f t="shared" ref="K9:AR9" si="5">UPPER(LEFT(TEXT(K8,"DDD"),1))</f>
        <v>Q</v>
      </c>
      <c r="L9" s="202" t="str">
        <f t="shared" si="5"/>
        <v>Q</v>
      </c>
      <c r="M9" s="201" t="str">
        <f t="shared" si="5"/>
        <v>S</v>
      </c>
      <c r="N9" s="202" t="str">
        <f t="shared" si="5"/>
        <v>S</v>
      </c>
      <c r="O9" s="201" t="str">
        <f t="shared" si="5"/>
        <v>D</v>
      </c>
      <c r="P9" s="203" t="str">
        <f t="shared" si="5"/>
        <v>S</v>
      </c>
      <c r="Q9" s="204" t="str">
        <f t="shared" si="5"/>
        <v>T</v>
      </c>
      <c r="R9" s="202" t="str">
        <f t="shared" si="5"/>
        <v>Q</v>
      </c>
      <c r="S9" s="201" t="str">
        <f t="shared" si="5"/>
        <v>Q</v>
      </c>
      <c r="T9" s="202" t="str">
        <f t="shared" si="5"/>
        <v>S</v>
      </c>
      <c r="U9" s="201" t="str">
        <f t="shared" si="5"/>
        <v>S</v>
      </c>
      <c r="V9" s="202" t="str">
        <f t="shared" si="5"/>
        <v>D</v>
      </c>
      <c r="W9" s="205" t="str">
        <f t="shared" si="5"/>
        <v>S</v>
      </c>
      <c r="X9" s="206" t="str">
        <f t="shared" si="5"/>
        <v>T</v>
      </c>
      <c r="Y9" s="201" t="str">
        <f t="shared" si="5"/>
        <v>Q</v>
      </c>
      <c r="Z9" s="202" t="str">
        <f t="shared" si="5"/>
        <v>Q</v>
      </c>
      <c r="AA9" s="201" t="str">
        <f t="shared" si="5"/>
        <v>S</v>
      </c>
      <c r="AB9" s="202" t="str">
        <f t="shared" si="5"/>
        <v>S</v>
      </c>
      <c r="AC9" s="201" t="str">
        <f t="shared" si="5"/>
        <v>D</v>
      </c>
      <c r="AD9" s="203" t="str">
        <f t="shared" si="5"/>
        <v>S</v>
      </c>
      <c r="AE9" s="204" t="str">
        <f t="shared" si="5"/>
        <v>T</v>
      </c>
      <c r="AF9" s="202" t="str">
        <f t="shared" si="5"/>
        <v>Q</v>
      </c>
      <c r="AG9" s="201" t="str">
        <f t="shared" si="5"/>
        <v>Q</v>
      </c>
      <c r="AH9" s="202" t="str">
        <f t="shared" si="5"/>
        <v>S</v>
      </c>
      <c r="AI9" s="201" t="str">
        <f t="shared" si="5"/>
        <v>S</v>
      </c>
      <c r="AJ9" s="202" t="str">
        <f t="shared" si="5"/>
        <v>D</v>
      </c>
      <c r="AK9" s="205" t="str">
        <f t="shared" si="5"/>
        <v>S</v>
      </c>
      <c r="AL9" s="206" t="str">
        <f t="shared" si="5"/>
        <v>T</v>
      </c>
      <c r="AM9" s="201" t="str">
        <f t="shared" si="5"/>
        <v>Q</v>
      </c>
      <c r="AN9" s="202" t="str">
        <f t="shared" si="5"/>
        <v>Q</v>
      </c>
      <c r="AO9" s="201" t="str">
        <f t="shared" si="5"/>
        <v>S</v>
      </c>
      <c r="AP9" s="202" t="str">
        <f t="shared" si="5"/>
        <v>S</v>
      </c>
      <c r="AQ9" s="201" t="str">
        <f t="shared" si="5"/>
        <v>D</v>
      </c>
      <c r="AR9" s="203" t="str">
        <f t="shared" si="5"/>
        <v>S</v>
      </c>
    </row>
    <row r="10" spans="2:44" x14ac:dyDescent="0.2">
      <c r="B10" s="303" t="s">
        <v>409</v>
      </c>
      <c r="C10" s="154">
        <v>44670</v>
      </c>
      <c r="D10" s="185">
        <f>IF(C10="","",C10+E10)</f>
        <v>44677</v>
      </c>
      <c r="E10" s="146">
        <v>7</v>
      </c>
      <c r="F10" s="156">
        <v>44670</v>
      </c>
      <c r="G10" s="156"/>
      <c r="H10" s="187" t="str">
        <f t="shared" ref="H10:H21" si="6">IF(G10&gt;D10,G10-D10,"")</f>
        <v/>
      </c>
      <c r="I10" s="188" t="str">
        <f>IF(AND(G10&lt;D10,G10&lt;&gt;""),D10-G10,"")</f>
        <v/>
      </c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8"/>
    </row>
    <row r="11" spans="2:44" x14ac:dyDescent="0.2">
      <c r="B11" s="147"/>
      <c r="C11" s="154"/>
      <c r="D11" s="185"/>
      <c r="E11" s="146"/>
      <c r="F11" s="156"/>
      <c r="G11" s="156"/>
      <c r="H11" s="187" t="str">
        <f t="shared" si="6"/>
        <v/>
      </c>
      <c r="I11" s="188" t="str">
        <f t="shared" ref="I11:I21" si="7">IF(AND(G11&lt;D11,G11&lt;&gt;""),D11-G11,"")</f>
        <v/>
      </c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8"/>
    </row>
    <row r="12" spans="2:44" x14ac:dyDescent="0.2">
      <c r="B12" s="147"/>
      <c r="C12" s="154"/>
      <c r="D12" s="185"/>
      <c r="E12" s="146"/>
      <c r="F12" s="156"/>
      <c r="G12" s="156"/>
      <c r="H12" s="187" t="str">
        <f t="shared" si="6"/>
        <v/>
      </c>
      <c r="I12" s="188" t="str">
        <f t="shared" si="7"/>
        <v/>
      </c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8"/>
    </row>
    <row r="13" spans="2:44" x14ac:dyDescent="0.2">
      <c r="B13" s="147"/>
      <c r="C13" s="154"/>
      <c r="D13" s="185" t="str">
        <f t="shared" ref="D13:D24" si="8">IF(C13="","",C13+E13)</f>
        <v/>
      </c>
      <c r="E13" s="146"/>
      <c r="F13" s="156"/>
      <c r="G13" s="156"/>
      <c r="H13" s="187" t="str">
        <f t="shared" si="6"/>
        <v/>
      </c>
      <c r="I13" s="188" t="str">
        <f t="shared" si="7"/>
        <v/>
      </c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8"/>
    </row>
    <row r="14" spans="2:44" x14ac:dyDescent="0.2">
      <c r="B14" s="147"/>
      <c r="C14" s="154"/>
      <c r="D14" s="185" t="str">
        <f t="shared" si="8"/>
        <v/>
      </c>
      <c r="E14" s="146"/>
      <c r="F14" s="156"/>
      <c r="G14" s="156"/>
      <c r="H14" s="187" t="str">
        <f t="shared" si="6"/>
        <v/>
      </c>
      <c r="I14" s="188" t="str">
        <f t="shared" si="7"/>
        <v/>
      </c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8"/>
    </row>
    <row r="15" spans="2:44" x14ac:dyDescent="0.2">
      <c r="B15" s="147"/>
      <c r="C15" s="154"/>
      <c r="D15" s="185" t="str">
        <f t="shared" si="8"/>
        <v/>
      </c>
      <c r="E15" s="146"/>
      <c r="F15" s="156"/>
      <c r="G15" s="156"/>
      <c r="H15" s="187" t="str">
        <f t="shared" si="6"/>
        <v/>
      </c>
      <c r="I15" s="188" t="str">
        <f t="shared" si="7"/>
        <v/>
      </c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AN15" s="146"/>
      <c r="AO15" s="146"/>
      <c r="AP15" s="146"/>
      <c r="AQ15" s="146"/>
      <c r="AR15" s="148"/>
    </row>
    <row r="16" spans="2:44" x14ac:dyDescent="0.2">
      <c r="B16" s="147"/>
      <c r="C16" s="154"/>
      <c r="D16" s="185" t="str">
        <f t="shared" si="8"/>
        <v/>
      </c>
      <c r="E16" s="146"/>
      <c r="F16" s="156"/>
      <c r="G16" s="156"/>
      <c r="H16" s="187" t="str">
        <f t="shared" si="6"/>
        <v/>
      </c>
      <c r="I16" s="188" t="str">
        <f t="shared" si="7"/>
        <v/>
      </c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8"/>
    </row>
    <row r="17" spans="2:44" x14ac:dyDescent="0.2">
      <c r="B17" s="147"/>
      <c r="C17" s="154"/>
      <c r="D17" s="185" t="str">
        <f t="shared" si="8"/>
        <v/>
      </c>
      <c r="E17" s="146"/>
      <c r="F17" s="156"/>
      <c r="G17" s="156"/>
      <c r="H17" s="187" t="str">
        <f t="shared" si="6"/>
        <v/>
      </c>
      <c r="I17" s="188" t="str">
        <f t="shared" si="7"/>
        <v/>
      </c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8"/>
    </row>
    <row r="18" spans="2:44" x14ac:dyDescent="0.2">
      <c r="B18" s="147"/>
      <c r="C18" s="154"/>
      <c r="D18" s="185" t="str">
        <f t="shared" si="8"/>
        <v/>
      </c>
      <c r="E18" s="146"/>
      <c r="F18" s="156"/>
      <c r="G18" s="156"/>
      <c r="H18" s="187" t="str">
        <f t="shared" si="6"/>
        <v/>
      </c>
      <c r="I18" s="188" t="str">
        <f t="shared" si="7"/>
        <v/>
      </c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8"/>
    </row>
    <row r="19" spans="2:44" x14ac:dyDescent="0.2">
      <c r="B19" s="147"/>
      <c r="C19" s="154"/>
      <c r="D19" s="185" t="str">
        <f t="shared" si="8"/>
        <v/>
      </c>
      <c r="E19" s="146"/>
      <c r="F19" s="156"/>
      <c r="G19" s="156"/>
      <c r="H19" s="187" t="str">
        <f t="shared" si="6"/>
        <v/>
      </c>
      <c r="I19" s="188" t="str">
        <f t="shared" si="7"/>
        <v/>
      </c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8"/>
    </row>
    <row r="20" spans="2:44" x14ac:dyDescent="0.2">
      <c r="B20" s="147"/>
      <c r="C20" s="154"/>
      <c r="D20" s="185" t="str">
        <f t="shared" si="8"/>
        <v/>
      </c>
      <c r="E20" s="146"/>
      <c r="F20" s="156"/>
      <c r="G20" s="156"/>
      <c r="H20" s="187" t="str">
        <f t="shared" si="6"/>
        <v/>
      </c>
      <c r="I20" s="188" t="str">
        <f t="shared" si="7"/>
        <v/>
      </c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8"/>
    </row>
    <row r="21" spans="2:44" ht="13.5" thickBot="1" x14ac:dyDescent="0.25">
      <c r="B21" s="149"/>
      <c r="C21" s="155"/>
      <c r="D21" s="186" t="str">
        <f t="shared" si="8"/>
        <v/>
      </c>
      <c r="E21" s="150"/>
      <c r="F21" s="157"/>
      <c r="G21" s="157"/>
      <c r="H21" s="189" t="str">
        <f t="shared" si="6"/>
        <v/>
      </c>
      <c r="I21" s="190" t="str">
        <f t="shared" si="7"/>
        <v/>
      </c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1"/>
    </row>
    <row r="22" spans="2:44" x14ac:dyDescent="0.2">
      <c r="D22" s="144" t="str">
        <f t="shared" si="8"/>
        <v/>
      </c>
    </row>
    <row r="23" spans="2:44" x14ac:dyDescent="0.2">
      <c r="D23" s="144" t="str">
        <f t="shared" si="8"/>
        <v/>
      </c>
    </row>
    <row r="24" spans="2:44" x14ac:dyDescent="0.2">
      <c r="D24" s="144" t="str">
        <f t="shared" si="8"/>
        <v/>
      </c>
    </row>
  </sheetData>
  <mergeCells count="15">
    <mergeCell ref="D6:I6"/>
    <mergeCell ref="D7:I7"/>
    <mergeCell ref="J7:P7"/>
    <mergeCell ref="Q7:W7"/>
    <mergeCell ref="AE7:AK7"/>
    <mergeCell ref="AL7:AR7"/>
    <mergeCell ref="H8:H9"/>
    <mergeCell ref="F8:F9"/>
    <mergeCell ref="G8:G9"/>
    <mergeCell ref="I8:I9"/>
    <mergeCell ref="B8:B9"/>
    <mergeCell ref="C8:C9"/>
    <mergeCell ref="D8:D9"/>
    <mergeCell ref="E8:E9"/>
    <mergeCell ref="X7:AD7"/>
  </mergeCells>
  <conditionalFormatting sqref="J10:AR21">
    <cfRule type="expression" dxfId="354" priority="2">
      <formula>IF($I10="","",AND(J$8&gt;=$G10,J$8&lt;=$G10))</formula>
    </cfRule>
    <cfRule type="expression" dxfId="353" priority="6">
      <formula>IF($H10="","",AND(J$8&gt;=$G10-($H10-1),J$8&lt;=$G10))</formula>
    </cfRule>
    <cfRule type="expression" dxfId="352" priority="37">
      <formula>IF($F10="","",AND(J$8&gt;=$F10,J$8&lt;=$G10))</formula>
    </cfRule>
    <cfRule type="expression" dxfId="351" priority="38">
      <formula>J$8=TODAY()</formula>
    </cfRule>
    <cfRule type="expression" dxfId="350" priority="39">
      <formula>IF($C10="","",AND(J$8&gt;=$C10,J$8&lt;=$D10))</formula>
    </cfRule>
  </conditionalFormatting>
  <conditionalFormatting sqref="I10:I21">
    <cfRule type="cellIs" dxfId="349" priority="5" operator="notEqual">
      <formula>""</formula>
    </cfRule>
  </conditionalFormatting>
  <conditionalFormatting sqref="H10:H21">
    <cfRule type="cellIs" dxfId="348" priority="1" operator="notEqual">
      <formula>""</formula>
    </cfRule>
  </conditionalFormatting>
  <dataValidations disablePrompts="1" count="1">
    <dataValidation type="list" allowBlank="1" showInputMessage="1" showErrorMessage="1" sqref="C10:C21">
      <formula1>$J$8:$AR$8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44</xdr:col>
                    <xdr:colOff>9525</xdr:colOff>
                    <xdr:row>2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'Dados de Físico Semanal'!$A$2:$A$998</xm:f>
          </x14:formula1>
          <xm:sqref>B7 F10:G21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workbookViewId="0">
      <selection activeCell="O10" sqref="O10"/>
    </sheetView>
  </sheetViews>
  <sheetFormatPr defaultRowHeight="12.75" x14ac:dyDescent="0.2"/>
  <cols>
    <col min="1" max="1" width="12.28515625" bestFit="1" customWidth="1"/>
    <col min="3" max="3" width="10.7109375" bestFit="1" customWidth="1"/>
    <col min="6" max="6" width="9.85546875" bestFit="1" customWidth="1"/>
  </cols>
  <sheetData>
    <row r="1" spans="1:6" ht="13.5" thickBot="1" x14ac:dyDescent="0.25">
      <c r="A1" s="145" t="str">
        <f>'FÍSICO SEMANAL'!B6</f>
        <v>Data de Início</v>
      </c>
      <c r="B1" s="340" t="s">
        <v>526</v>
      </c>
      <c r="C1" t="s">
        <v>602</v>
      </c>
      <c r="F1" s="340" t="s">
        <v>631</v>
      </c>
    </row>
    <row r="2" spans="1:6" ht="13.5" thickBot="1" x14ac:dyDescent="0.25">
      <c r="A2" s="144">
        <v>44661</v>
      </c>
      <c r="B2" s="471" t="s">
        <v>407</v>
      </c>
      <c r="C2" s="496" t="s">
        <v>596</v>
      </c>
      <c r="F2" s="520">
        <v>44562</v>
      </c>
    </row>
    <row r="3" spans="1:6" ht="13.5" thickBot="1" x14ac:dyDescent="0.25">
      <c r="A3" s="144">
        <f>A2+1</f>
        <v>44662</v>
      </c>
      <c r="B3" s="472"/>
      <c r="C3" s="496" t="s">
        <v>601</v>
      </c>
      <c r="F3" s="519">
        <v>44620</v>
      </c>
    </row>
    <row r="4" spans="1:6" ht="13.5" thickBot="1" x14ac:dyDescent="0.25">
      <c r="A4" s="144">
        <f t="shared" ref="A4:A67" si="0">A3+1</f>
        <v>44663</v>
      </c>
      <c r="C4" s="496" t="s">
        <v>407</v>
      </c>
      <c r="F4" s="519">
        <v>44621</v>
      </c>
    </row>
    <row r="5" spans="1:6" ht="13.5" thickBot="1" x14ac:dyDescent="0.25">
      <c r="A5" s="144">
        <f t="shared" si="0"/>
        <v>44664</v>
      </c>
      <c r="C5" s="502" t="s">
        <v>604</v>
      </c>
      <c r="F5" s="519">
        <v>44666</v>
      </c>
    </row>
    <row r="6" spans="1:6" ht="13.5" thickBot="1" x14ac:dyDescent="0.25">
      <c r="A6" s="144">
        <f t="shared" si="0"/>
        <v>44665</v>
      </c>
      <c r="C6" s="502" t="s">
        <v>605</v>
      </c>
      <c r="F6" s="519">
        <v>44672</v>
      </c>
    </row>
    <row r="7" spans="1:6" ht="13.5" thickBot="1" x14ac:dyDescent="0.25">
      <c r="A7" s="144">
        <f t="shared" si="0"/>
        <v>44666</v>
      </c>
      <c r="C7" s="502" t="s">
        <v>625</v>
      </c>
      <c r="F7" s="519">
        <v>44682</v>
      </c>
    </row>
    <row r="8" spans="1:6" ht="13.5" thickBot="1" x14ac:dyDescent="0.25">
      <c r="A8" s="144">
        <f t="shared" si="0"/>
        <v>44667</v>
      </c>
      <c r="C8" s="502" t="s">
        <v>626</v>
      </c>
      <c r="F8" s="519">
        <v>44728</v>
      </c>
    </row>
    <row r="9" spans="1:6" ht="13.5" thickBot="1" x14ac:dyDescent="0.25">
      <c r="A9" s="144">
        <f t="shared" si="0"/>
        <v>44668</v>
      </c>
      <c r="C9" s="502" t="s">
        <v>627</v>
      </c>
      <c r="F9" s="519">
        <v>44811</v>
      </c>
    </row>
    <row r="10" spans="1:6" ht="13.5" thickBot="1" x14ac:dyDescent="0.25">
      <c r="A10" s="144">
        <f t="shared" si="0"/>
        <v>44669</v>
      </c>
      <c r="C10" s="502" t="s">
        <v>628</v>
      </c>
      <c r="F10" s="519">
        <v>44846</v>
      </c>
    </row>
    <row r="11" spans="1:6" ht="13.5" thickBot="1" x14ac:dyDescent="0.25">
      <c r="A11" s="144">
        <f t="shared" si="0"/>
        <v>44670</v>
      </c>
      <c r="F11" s="519">
        <v>44867</v>
      </c>
    </row>
    <row r="12" spans="1:6" ht="13.5" thickBot="1" x14ac:dyDescent="0.25">
      <c r="A12" s="144">
        <f t="shared" si="0"/>
        <v>44671</v>
      </c>
      <c r="F12" s="519">
        <v>44880</v>
      </c>
    </row>
    <row r="13" spans="1:6" ht="13.5" thickBot="1" x14ac:dyDescent="0.25">
      <c r="A13" s="144">
        <f t="shared" si="0"/>
        <v>44672</v>
      </c>
      <c r="F13" s="519">
        <v>44920</v>
      </c>
    </row>
    <row r="14" spans="1:6" x14ac:dyDescent="0.2">
      <c r="A14" s="144">
        <f t="shared" si="0"/>
        <v>44673</v>
      </c>
    </row>
    <row r="15" spans="1:6" x14ac:dyDescent="0.2">
      <c r="A15" s="144">
        <f t="shared" si="0"/>
        <v>44674</v>
      </c>
    </row>
    <row r="16" spans="1:6" x14ac:dyDescent="0.2">
      <c r="A16" s="144">
        <f t="shared" si="0"/>
        <v>44675</v>
      </c>
    </row>
    <row r="17" spans="1:1" x14ac:dyDescent="0.2">
      <c r="A17" s="144">
        <f t="shared" si="0"/>
        <v>44676</v>
      </c>
    </row>
    <row r="18" spans="1:1" x14ac:dyDescent="0.2">
      <c r="A18" s="144">
        <f t="shared" si="0"/>
        <v>44677</v>
      </c>
    </row>
    <row r="19" spans="1:1" x14ac:dyDescent="0.2">
      <c r="A19" s="144">
        <f t="shared" si="0"/>
        <v>44678</v>
      </c>
    </row>
    <row r="20" spans="1:1" x14ac:dyDescent="0.2">
      <c r="A20" s="144">
        <f t="shared" si="0"/>
        <v>44679</v>
      </c>
    </row>
    <row r="21" spans="1:1" x14ac:dyDescent="0.2">
      <c r="A21" s="144">
        <f t="shared" si="0"/>
        <v>44680</v>
      </c>
    </row>
    <row r="22" spans="1:1" x14ac:dyDescent="0.2">
      <c r="A22" s="144">
        <f t="shared" si="0"/>
        <v>44681</v>
      </c>
    </row>
    <row r="23" spans="1:1" x14ac:dyDescent="0.2">
      <c r="A23" s="144">
        <f t="shared" si="0"/>
        <v>44682</v>
      </c>
    </row>
    <row r="24" spans="1:1" x14ac:dyDescent="0.2">
      <c r="A24" s="144">
        <f t="shared" si="0"/>
        <v>44683</v>
      </c>
    </row>
    <row r="25" spans="1:1" x14ac:dyDescent="0.2">
      <c r="A25" s="144">
        <f t="shared" si="0"/>
        <v>44684</v>
      </c>
    </row>
    <row r="26" spans="1:1" x14ac:dyDescent="0.2">
      <c r="A26" s="144">
        <f t="shared" si="0"/>
        <v>44685</v>
      </c>
    </row>
    <row r="27" spans="1:1" x14ac:dyDescent="0.2">
      <c r="A27" s="144">
        <f t="shared" si="0"/>
        <v>44686</v>
      </c>
    </row>
    <row r="28" spans="1:1" x14ac:dyDescent="0.2">
      <c r="A28" s="144">
        <f t="shared" si="0"/>
        <v>44687</v>
      </c>
    </row>
    <row r="29" spans="1:1" x14ac:dyDescent="0.2">
      <c r="A29" s="144">
        <f t="shared" si="0"/>
        <v>44688</v>
      </c>
    </row>
    <row r="30" spans="1:1" x14ac:dyDescent="0.2">
      <c r="A30" s="144">
        <f t="shared" si="0"/>
        <v>44689</v>
      </c>
    </row>
    <row r="31" spans="1:1" x14ac:dyDescent="0.2">
      <c r="A31" s="144">
        <f t="shared" si="0"/>
        <v>44690</v>
      </c>
    </row>
    <row r="32" spans="1:1" x14ac:dyDescent="0.2">
      <c r="A32" s="144">
        <f t="shared" si="0"/>
        <v>44691</v>
      </c>
    </row>
    <row r="33" spans="1:1" x14ac:dyDescent="0.2">
      <c r="A33" s="144">
        <f t="shared" si="0"/>
        <v>44692</v>
      </c>
    </row>
    <row r="34" spans="1:1" x14ac:dyDescent="0.2">
      <c r="A34" s="144">
        <f t="shared" si="0"/>
        <v>44693</v>
      </c>
    </row>
    <row r="35" spans="1:1" x14ac:dyDescent="0.2">
      <c r="A35" s="144">
        <f t="shared" si="0"/>
        <v>44694</v>
      </c>
    </row>
    <row r="36" spans="1:1" x14ac:dyDescent="0.2">
      <c r="A36" s="144">
        <f t="shared" si="0"/>
        <v>44695</v>
      </c>
    </row>
    <row r="37" spans="1:1" x14ac:dyDescent="0.2">
      <c r="A37" s="144">
        <f t="shared" si="0"/>
        <v>44696</v>
      </c>
    </row>
    <row r="38" spans="1:1" x14ac:dyDescent="0.2">
      <c r="A38" s="144">
        <f t="shared" si="0"/>
        <v>44697</v>
      </c>
    </row>
    <row r="39" spans="1:1" x14ac:dyDescent="0.2">
      <c r="A39" s="144">
        <f t="shared" si="0"/>
        <v>44698</v>
      </c>
    </row>
    <row r="40" spans="1:1" x14ac:dyDescent="0.2">
      <c r="A40" s="144">
        <f t="shared" si="0"/>
        <v>44699</v>
      </c>
    </row>
    <row r="41" spans="1:1" x14ac:dyDescent="0.2">
      <c r="A41" s="144">
        <f t="shared" si="0"/>
        <v>44700</v>
      </c>
    </row>
    <row r="42" spans="1:1" x14ac:dyDescent="0.2">
      <c r="A42" s="144">
        <f t="shared" si="0"/>
        <v>44701</v>
      </c>
    </row>
    <row r="43" spans="1:1" x14ac:dyDescent="0.2">
      <c r="A43" s="144">
        <f t="shared" si="0"/>
        <v>44702</v>
      </c>
    </row>
    <row r="44" spans="1:1" x14ac:dyDescent="0.2">
      <c r="A44" s="144">
        <f t="shared" si="0"/>
        <v>44703</v>
      </c>
    </row>
    <row r="45" spans="1:1" x14ac:dyDescent="0.2">
      <c r="A45" s="144">
        <f t="shared" si="0"/>
        <v>44704</v>
      </c>
    </row>
    <row r="46" spans="1:1" x14ac:dyDescent="0.2">
      <c r="A46" s="144">
        <f t="shared" si="0"/>
        <v>44705</v>
      </c>
    </row>
    <row r="47" spans="1:1" x14ac:dyDescent="0.2">
      <c r="A47" s="144">
        <f t="shared" si="0"/>
        <v>44706</v>
      </c>
    </row>
    <row r="48" spans="1:1" x14ac:dyDescent="0.2">
      <c r="A48" s="144">
        <f t="shared" si="0"/>
        <v>44707</v>
      </c>
    </row>
    <row r="49" spans="1:1" x14ac:dyDescent="0.2">
      <c r="A49" s="144">
        <f t="shared" si="0"/>
        <v>44708</v>
      </c>
    </row>
    <row r="50" spans="1:1" x14ac:dyDescent="0.2">
      <c r="A50" s="144">
        <f t="shared" si="0"/>
        <v>44709</v>
      </c>
    </row>
    <row r="51" spans="1:1" x14ac:dyDescent="0.2">
      <c r="A51" s="144">
        <f t="shared" si="0"/>
        <v>44710</v>
      </c>
    </row>
    <row r="52" spans="1:1" x14ac:dyDescent="0.2">
      <c r="A52" s="144">
        <f t="shared" si="0"/>
        <v>44711</v>
      </c>
    </row>
    <row r="53" spans="1:1" x14ac:dyDescent="0.2">
      <c r="A53" s="144">
        <f t="shared" si="0"/>
        <v>44712</v>
      </c>
    </row>
    <row r="54" spans="1:1" x14ac:dyDescent="0.2">
      <c r="A54" s="144">
        <f t="shared" si="0"/>
        <v>44713</v>
      </c>
    </row>
    <row r="55" spans="1:1" x14ac:dyDescent="0.2">
      <c r="A55" s="144">
        <f t="shared" si="0"/>
        <v>44714</v>
      </c>
    </row>
    <row r="56" spans="1:1" x14ac:dyDescent="0.2">
      <c r="A56" s="144">
        <f t="shared" si="0"/>
        <v>44715</v>
      </c>
    </row>
    <row r="57" spans="1:1" x14ac:dyDescent="0.2">
      <c r="A57" s="144">
        <f t="shared" si="0"/>
        <v>44716</v>
      </c>
    </row>
    <row r="58" spans="1:1" x14ac:dyDescent="0.2">
      <c r="A58" s="144">
        <f t="shared" si="0"/>
        <v>44717</v>
      </c>
    </row>
    <row r="59" spans="1:1" x14ac:dyDescent="0.2">
      <c r="A59" s="144">
        <f t="shared" si="0"/>
        <v>44718</v>
      </c>
    </row>
    <row r="60" spans="1:1" x14ac:dyDescent="0.2">
      <c r="A60" s="144">
        <f t="shared" si="0"/>
        <v>44719</v>
      </c>
    </row>
    <row r="61" spans="1:1" x14ac:dyDescent="0.2">
      <c r="A61" s="144">
        <f t="shared" si="0"/>
        <v>44720</v>
      </c>
    </row>
    <row r="62" spans="1:1" x14ac:dyDescent="0.2">
      <c r="A62" s="144">
        <f t="shared" si="0"/>
        <v>44721</v>
      </c>
    </row>
    <row r="63" spans="1:1" x14ac:dyDescent="0.2">
      <c r="A63" s="144">
        <f t="shared" si="0"/>
        <v>44722</v>
      </c>
    </row>
    <row r="64" spans="1:1" x14ac:dyDescent="0.2">
      <c r="A64" s="144">
        <f t="shared" si="0"/>
        <v>44723</v>
      </c>
    </row>
    <row r="65" spans="1:1" x14ac:dyDescent="0.2">
      <c r="A65" s="144">
        <f t="shared" si="0"/>
        <v>44724</v>
      </c>
    </row>
    <row r="66" spans="1:1" x14ac:dyDescent="0.2">
      <c r="A66" s="144">
        <f t="shared" si="0"/>
        <v>44725</v>
      </c>
    </row>
    <row r="67" spans="1:1" x14ac:dyDescent="0.2">
      <c r="A67" s="144">
        <f t="shared" si="0"/>
        <v>44726</v>
      </c>
    </row>
    <row r="68" spans="1:1" x14ac:dyDescent="0.2">
      <c r="A68" s="144">
        <f t="shared" ref="A68:A131" si="1">A67+1</f>
        <v>44727</v>
      </c>
    </row>
    <row r="69" spans="1:1" x14ac:dyDescent="0.2">
      <c r="A69" s="144">
        <f t="shared" si="1"/>
        <v>44728</v>
      </c>
    </row>
    <row r="70" spans="1:1" x14ac:dyDescent="0.2">
      <c r="A70" s="144">
        <f t="shared" si="1"/>
        <v>44729</v>
      </c>
    </row>
    <row r="71" spans="1:1" x14ac:dyDescent="0.2">
      <c r="A71" s="144">
        <f t="shared" si="1"/>
        <v>44730</v>
      </c>
    </row>
    <row r="72" spans="1:1" x14ac:dyDescent="0.2">
      <c r="A72" s="144">
        <f t="shared" si="1"/>
        <v>44731</v>
      </c>
    </row>
    <row r="73" spans="1:1" x14ac:dyDescent="0.2">
      <c r="A73" s="144">
        <f t="shared" si="1"/>
        <v>44732</v>
      </c>
    </row>
    <row r="74" spans="1:1" x14ac:dyDescent="0.2">
      <c r="A74" s="144">
        <f t="shared" si="1"/>
        <v>44733</v>
      </c>
    </row>
    <row r="75" spans="1:1" x14ac:dyDescent="0.2">
      <c r="A75" s="144">
        <f t="shared" si="1"/>
        <v>44734</v>
      </c>
    </row>
    <row r="76" spans="1:1" x14ac:dyDescent="0.2">
      <c r="A76" s="144">
        <f t="shared" si="1"/>
        <v>44735</v>
      </c>
    </row>
    <row r="77" spans="1:1" x14ac:dyDescent="0.2">
      <c r="A77" s="144">
        <f t="shared" si="1"/>
        <v>44736</v>
      </c>
    </row>
    <row r="78" spans="1:1" x14ac:dyDescent="0.2">
      <c r="A78" s="144">
        <f t="shared" si="1"/>
        <v>44737</v>
      </c>
    </row>
    <row r="79" spans="1:1" x14ac:dyDescent="0.2">
      <c r="A79" s="144">
        <f t="shared" si="1"/>
        <v>44738</v>
      </c>
    </row>
    <row r="80" spans="1:1" x14ac:dyDescent="0.2">
      <c r="A80" s="144">
        <f t="shared" si="1"/>
        <v>44739</v>
      </c>
    </row>
    <row r="81" spans="1:1" x14ac:dyDescent="0.2">
      <c r="A81" s="144">
        <f t="shared" si="1"/>
        <v>44740</v>
      </c>
    </row>
    <row r="82" spans="1:1" x14ac:dyDescent="0.2">
      <c r="A82" s="144">
        <f t="shared" si="1"/>
        <v>44741</v>
      </c>
    </row>
    <row r="83" spans="1:1" x14ac:dyDescent="0.2">
      <c r="A83" s="144">
        <f t="shared" si="1"/>
        <v>44742</v>
      </c>
    </row>
    <row r="84" spans="1:1" x14ac:dyDescent="0.2">
      <c r="A84" s="144">
        <f t="shared" si="1"/>
        <v>44743</v>
      </c>
    </row>
    <row r="85" spans="1:1" x14ac:dyDescent="0.2">
      <c r="A85" s="144">
        <f t="shared" si="1"/>
        <v>44744</v>
      </c>
    </row>
    <row r="86" spans="1:1" x14ac:dyDescent="0.2">
      <c r="A86" s="144">
        <f t="shared" si="1"/>
        <v>44745</v>
      </c>
    </row>
    <row r="87" spans="1:1" x14ac:dyDescent="0.2">
      <c r="A87" s="144">
        <f t="shared" si="1"/>
        <v>44746</v>
      </c>
    </row>
    <row r="88" spans="1:1" x14ac:dyDescent="0.2">
      <c r="A88" s="144">
        <f t="shared" si="1"/>
        <v>44747</v>
      </c>
    </row>
    <row r="89" spans="1:1" x14ac:dyDescent="0.2">
      <c r="A89" s="144">
        <f t="shared" si="1"/>
        <v>44748</v>
      </c>
    </row>
    <row r="90" spans="1:1" x14ac:dyDescent="0.2">
      <c r="A90" s="144">
        <f t="shared" si="1"/>
        <v>44749</v>
      </c>
    </row>
    <row r="91" spans="1:1" x14ac:dyDescent="0.2">
      <c r="A91" s="144">
        <f t="shared" si="1"/>
        <v>44750</v>
      </c>
    </row>
    <row r="92" spans="1:1" x14ac:dyDescent="0.2">
      <c r="A92" s="144">
        <f t="shared" si="1"/>
        <v>44751</v>
      </c>
    </row>
    <row r="93" spans="1:1" x14ac:dyDescent="0.2">
      <c r="A93" s="144">
        <f t="shared" si="1"/>
        <v>44752</v>
      </c>
    </row>
    <row r="94" spans="1:1" x14ac:dyDescent="0.2">
      <c r="A94" s="144">
        <f t="shared" si="1"/>
        <v>44753</v>
      </c>
    </row>
    <row r="95" spans="1:1" x14ac:dyDescent="0.2">
      <c r="A95" s="144">
        <f t="shared" si="1"/>
        <v>44754</v>
      </c>
    </row>
    <row r="96" spans="1:1" x14ac:dyDescent="0.2">
      <c r="A96" s="144">
        <f t="shared" si="1"/>
        <v>44755</v>
      </c>
    </row>
    <row r="97" spans="1:1" x14ac:dyDescent="0.2">
      <c r="A97" s="144">
        <f t="shared" si="1"/>
        <v>44756</v>
      </c>
    </row>
    <row r="98" spans="1:1" x14ac:dyDescent="0.2">
      <c r="A98" s="144">
        <f t="shared" si="1"/>
        <v>44757</v>
      </c>
    </row>
    <row r="99" spans="1:1" x14ac:dyDescent="0.2">
      <c r="A99" s="144">
        <f t="shared" si="1"/>
        <v>44758</v>
      </c>
    </row>
    <row r="100" spans="1:1" x14ac:dyDescent="0.2">
      <c r="A100" s="144">
        <f t="shared" si="1"/>
        <v>44759</v>
      </c>
    </row>
    <row r="101" spans="1:1" x14ac:dyDescent="0.2">
      <c r="A101" s="144">
        <f t="shared" si="1"/>
        <v>44760</v>
      </c>
    </row>
    <row r="102" spans="1:1" x14ac:dyDescent="0.2">
      <c r="A102" s="144">
        <f t="shared" si="1"/>
        <v>44761</v>
      </c>
    </row>
    <row r="103" spans="1:1" x14ac:dyDescent="0.2">
      <c r="A103" s="144">
        <f t="shared" si="1"/>
        <v>44762</v>
      </c>
    </row>
    <row r="104" spans="1:1" x14ac:dyDescent="0.2">
      <c r="A104" s="144">
        <f t="shared" si="1"/>
        <v>44763</v>
      </c>
    </row>
    <row r="105" spans="1:1" x14ac:dyDescent="0.2">
      <c r="A105" s="144">
        <f t="shared" si="1"/>
        <v>44764</v>
      </c>
    </row>
    <row r="106" spans="1:1" x14ac:dyDescent="0.2">
      <c r="A106" s="144">
        <f t="shared" si="1"/>
        <v>44765</v>
      </c>
    </row>
    <row r="107" spans="1:1" x14ac:dyDescent="0.2">
      <c r="A107" s="144">
        <f t="shared" si="1"/>
        <v>44766</v>
      </c>
    </row>
    <row r="108" spans="1:1" x14ac:dyDescent="0.2">
      <c r="A108" s="144">
        <f t="shared" si="1"/>
        <v>44767</v>
      </c>
    </row>
    <row r="109" spans="1:1" x14ac:dyDescent="0.2">
      <c r="A109" s="144">
        <f t="shared" si="1"/>
        <v>44768</v>
      </c>
    </row>
    <row r="110" spans="1:1" x14ac:dyDescent="0.2">
      <c r="A110" s="144">
        <f t="shared" si="1"/>
        <v>44769</v>
      </c>
    </row>
    <row r="111" spans="1:1" x14ac:dyDescent="0.2">
      <c r="A111" s="144">
        <f t="shared" si="1"/>
        <v>44770</v>
      </c>
    </row>
    <row r="112" spans="1:1" x14ac:dyDescent="0.2">
      <c r="A112" s="144">
        <f t="shared" si="1"/>
        <v>44771</v>
      </c>
    </row>
    <row r="113" spans="1:1" x14ac:dyDescent="0.2">
      <c r="A113" s="144">
        <f t="shared" si="1"/>
        <v>44772</v>
      </c>
    </row>
    <row r="114" spans="1:1" x14ac:dyDescent="0.2">
      <c r="A114" s="144">
        <f t="shared" si="1"/>
        <v>44773</v>
      </c>
    </row>
    <row r="115" spans="1:1" x14ac:dyDescent="0.2">
      <c r="A115" s="144">
        <f t="shared" si="1"/>
        <v>44774</v>
      </c>
    </row>
    <row r="116" spans="1:1" x14ac:dyDescent="0.2">
      <c r="A116" s="144">
        <f t="shared" si="1"/>
        <v>44775</v>
      </c>
    </row>
    <row r="117" spans="1:1" x14ac:dyDescent="0.2">
      <c r="A117" s="144">
        <f t="shared" si="1"/>
        <v>44776</v>
      </c>
    </row>
    <row r="118" spans="1:1" x14ac:dyDescent="0.2">
      <c r="A118" s="144">
        <f t="shared" si="1"/>
        <v>44777</v>
      </c>
    </row>
    <row r="119" spans="1:1" x14ac:dyDescent="0.2">
      <c r="A119" s="144">
        <f t="shared" si="1"/>
        <v>44778</v>
      </c>
    </row>
    <row r="120" spans="1:1" x14ac:dyDescent="0.2">
      <c r="A120" s="144">
        <f t="shared" si="1"/>
        <v>44779</v>
      </c>
    </row>
    <row r="121" spans="1:1" x14ac:dyDescent="0.2">
      <c r="A121" s="144">
        <f t="shared" si="1"/>
        <v>44780</v>
      </c>
    </row>
    <row r="122" spans="1:1" x14ac:dyDescent="0.2">
      <c r="A122" s="144">
        <f t="shared" si="1"/>
        <v>44781</v>
      </c>
    </row>
    <row r="123" spans="1:1" x14ac:dyDescent="0.2">
      <c r="A123" s="144">
        <f t="shared" si="1"/>
        <v>44782</v>
      </c>
    </row>
    <row r="124" spans="1:1" x14ac:dyDescent="0.2">
      <c r="A124" s="144">
        <f t="shared" si="1"/>
        <v>44783</v>
      </c>
    </row>
    <row r="125" spans="1:1" x14ac:dyDescent="0.2">
      <c r="A125" s="144">
        <f t="shared" si="1"/>
        <v>44784</v>
      </c>
    </row>
    <row r="126" spans="1:1" x14ac:dyDescent="0.2">
      <c r="A126" s="144">
        <f t="shared" si="1"/>
        <v>44785</v>
      </c>
    </row>
    <row r="127" spans="1:1" x14ac:dyDescent="0.2">
      <c r="A127" s="144">
        <f t="shared" si="1"/>
        <v>44786</v>
      </c>
    </row>
    <row r="128" spans="1:1" x14ac:dyDescent="0.2">
      <c r="A128" s="144">
        <f t="shared" si="1"/>
        <v>44787</v>
      </c>
    </row>
    <row r="129" spans="1:1" x14ac:dyDescent="0.2">
      <c r="A129" s="144">
        <f t="shared" si="1"/>
        <v>44788</v>
      </c>
    </row>
    <row r="130" spans="1:1" x14ac:dyDescent="0.2">
      <c r="A130" s="144">
        <f t="shared" si="1"/>
        <v>44789</v>
      </c>
    </row>
    <row r="131" spans="1:1" x14ac:dyDescent="0.2">
      <c r="A131" s="144">
        <f t="shared" si="1"/>
        <v>44790</v>
      </c>
    </row>
    <row r="132" spans="1:1" x14ac:dyDescent="0.2">
      <c r="A132" s="144">
        <f t="shared" ref="A132:A195" si="2">A131+1</f>
        <v>44791</v>
      </c>
    </row>
    <row r="133" spans="1:1" x14ac:dyDescent="0.2">
      <c r="A133" s="144">
        <f t="shared" si="2"/>
        <v>44792</v>
      </c>
    </row>
    <row r="134" spans="1:1" x14ac:dyDescent="0.2">
      <c r="A134" s="144">
        <f t="shared" si="2"/>
        <v>44793</v>
      </c>
    </row>
    <row r="135" spans="1:1" x14ac:dyDescent="0.2">
      <c r="A135" s="144">
        <f t="shared" si="2"/>
        <v>44794</v>
      </c>
    </row>
    <row r="136" spans="1:1" x14ac:dyDescent="0.2">
      <c r="A136" s="144">
        <f t="shared" si="2"/>
        <v>44795</v>
      </c>
    </row>
    <row r="137" spans="1:1" x14ac:dyDescent="0.2">
      <c r="A137" s="144">
        <f t="shared" si="2"/>
        <v>44796</v>
      </c>
    </row>
    <row r="138" spans="1:1" x14ac:dyDescent="0.2">
      <c r="A138" s="144">
        <f t="shared" si="2"/>
        <v>44797</v>
      </c>
    </row>
    <row r="139" spans="1:1" x14ac:dyDescent="0.2">
      <c r="A139" s="144">
        <f t="shared" si="2"/>
        <v>44798</v>
      </c>
    </row>
    <row r="140" spans="1:1" x14ac:dyDescent="0.2">
      <c r="A140" s="144">
        <f t="shared" si="2"/>
        <v>44799</v>
      </c>
    </row>
    <row r="141" spans="1:1" x14ac:dyDescent="0.2">
      <c r="A141" s="144">
        <f t="shared" si="2"/>
        <v>44800</v>
      </c>
    </row>
    <row r="142" spans="1:1" x14ac:dyDescent="0.2">
      <c r="A142" s="144">
        <f t="shared" si="2"/>
        <v>44801</v>
      </c>
    </row>
    <row r="143" spans="1:1" x14ac:dyDescent="0.2">
      <c r="A143" s="144">
        <f t="shared" si="2"/>
        <v>44802</v>
      </c>
    </row>
    <row r="144" spans="1:1" x14ac:dyDescent="0.2">
      <c r="A144" s="144">
        <f t="shared" si="2"/>
        <v>44803</v>
      </c>
    </row>
    <row r="145" spans="1:1" x14ac:dyDescent="0.2">
      <c r="A145" s="144">
        <f t="shared" si="2"/>
        <v>44804</v>
      </c>
    </row>
    <row r="146" spans="1:1" x14ac:dyDescent="0.2">
      <c r="A146" s="144">
        <f t="shared" si="2"/>
        <v>44805</v>
      </c>
    </row>
    <row r="147" spans="1:1" x14ac:dyDescent="0.2">
      <c r="A147" s="144">
        <f t="shared" si="2"/>
        <v>44806</v>
      </c>
    </row>
    <row r="148" spans="1:1" x14ac:dyDescent="0.2">
      <c r="A148" s="144">
        <f t="shared" si="2"/>
        <v>44807</v>
      </c>
    </row>
    <row r="149" spans="1:1" x14ac:dyDescent="0.2">
      <c r="A149" s="144">
        <f t="shared" si="2"/>
        <v>44808</v>
      </c>
    </row>
    <row r="150" spans="1:1" x14ac:dyDescent="0.2">
      <c r="A150" s="144">
        <f t="shared" si="2"/>
        <v>44809</v>
      </c>
    </row>
    <row r="151" spans="1:1" x14ac:dyDescent="0.2">
      <c r="A151" s="144">
        <f t="shared" si="2"/>
        <v>44810</v>
      </c>
    </row>
    <row r="152" spans="1:1" x14ac:dyDescent="0.2">
      <c r="A152" s="144">
        <f t="shared" si="2"/>
        <v>44811</v>
      </c>
    </row>
    <row r="153" spans="1:1" x14ac:dyDescent="0.2">
      <c r="A153" s="144">
        <f t="shared" si="2"/>
        <v>44812</v>
      </c>
    </row>
    <row r="154" spans="1:1" x14ac:dyDescent="0.2">
      <c r="A154" s="144">
        <f t="shared" si="2"/>
        <v>44813</v>
      </c>
    </row>
    <row r="155" spans="1:1" x14ac:dyDescent="0.2">
      <c r="A155" s="144">
        <f t="shared" si="2"/>
        <v>44814</v>
      </c>
    </row>
    <row r="156" spans="1:1" x14ac:dyDescent="0.2">
      <c r="A156" s="144">
        <f t="shared" si="2"/>
        <v>44815</v>
      </c>
    </row>
    <row r="157" spans="1:1" x14ac:dyDescent="0.2">
      <c r="A157" s="144">
        <f t="shared" si="2"/>
        <v>44816</v>
      </c>
    </row>
    <row r="158" spans="1:1" x14ac:dyDescent="0.2">
      <c r="A158" s="144">
        <f t="shared" si="2"/>
        <v>44817</v>
      </c>
    </row>
    <row r="159" spans="1:1" x14ac:dyDescent="0.2">
      <c r="A159" s="144">
        <f t="shared" si="2"/>
        <v>44818</v>
      </c>
    </row>
    <row r="160" spans="1:1" x14ac:dyDescent="0.2">
      <c r="A160" s="144">
        <f t="shared" si="2"/>
        <v>44819</v>
      </c>
    </row>
    <row r="161" spans="1:1" x14ac:dyDescent="0.2">
      <c r="A161" s="144">
        <f t="shared" si="2"/>
        <v>44820</v>
      </c>
    </row>
    <row r="162" spans="1:1" x14ac:dyDescent="0.2">
      <c r="A162" s="144">
        <f t="shared" si="2"/>
        <v>44821</v>
      </c>
    </row>
    <row r="163" spans="1:1" x14ac:dyDescent="0.2">
      <c r="A163" s="144">
        <f t="shared" si="2"/>
        <v>44822</v>
      </c>
    </row>
    <row r="164" spans="1:1" x14ac:dyDescent="0.2">
      <c r="A164" s="144">
        <f t="shared" si="2"/>
        <v>44823</v>
      </c>
    </row>
    <row r="165" spans="1:1" x14ac:dyDescent="0.2">
      <c r="A165" s="144">
        <f t="shared" si="2"/>
        <v>44824</v>
      </c>
    </row>
    <row r="166" spans="1:1" x14ac:dyDescent="0.2">
      <c r="A166" s="144">
        <f t="shared" si="2"/>
        <v>44825</v>
      </c>
    </row>
    <row r="167" spans="1:1" x14ac:dyDescent="0.2">
      <c r="A167" s="144">
        <f t="shared" si="2"/>
        <v>44826</v>
      </c>
    </row>
    <row r="168" spans="1:1" x14ac:dyDescent="0.2">
      <c r="A168" s="144">
        <f t="shared" si="2"/>
        <v>44827</v>
      </c>
    </row>
    <row r="169" spans="1:1" x14ac:dyDescent="0.2">
      <c r="A169" s="144">
        <f t="shared" si="2"/>
        <v>44828</v>
      </c>
    </row>
    <row r="170" spans="1:1" x14ac:dyDescent="0.2">
      <c r="A170" s="144">
        <f t="shared" si="2"/>
        <v>44829</v>
      </c>
    </row>
    <row r="171" spans="1:1" x14ac:dyDescent="0.2">
      <c r="A171" s="144">
        <f t="shared" si="2"/>
        <v>44830</v>
      </c>
    </row>
    <row r="172" spans="1:1" x14ac:dyDescent="0.2">
      <c r="A172" s="144">
        <f t="shared" si="2"/>
        <v>44831</v>
      </c>
    </row>
    <row r="173" spans="1:1" x14ac:dyDescent="0.2">
      <c r="A173" s="144">
        <f t="shared" si="2"/>
        <v>44832</v>
      </c>
    </row>
    <row r="174" spans="1:1" x14ac:dyDescent="0.2">
      <c r="A174" s="144">
        <f t="shared" si="2"/>
        <v>44833</v>
      </c>
    </row>
    <row r="175" spans="1:1" x14ac:dyDescent="0.2">
      <c r="A175" s="144">
        <f t="shared" si="2"/>
        <v>44834</v>
      </c>
    </row>
    <row r="176" spans="1:1" x14ac:dyDescent="0.2">
      <c r="A176" s="144">
        <f t="shared" si="2"/>
        <v>44835</v>
      </c>
    </row>
    <row r="177" spans="1:1" x14ac:dyDescent="0.2">
      <c r="A177" s="144">
        <f t="shared" si="2"/>
        <v>44836</v>
      </c>
    </row>
    <row r="178" spans="1:1" x14ac:dyDescent="0.2">
      <c r="A178" s="144">
        <f t="shared" si="2"/>
        <v>44837</v>
      </c>
    </row>
    <row r="179" spans="1:1" x14ac:dyDescent="0.2">
      <c r="A179" s="144">
        <f t="shared" si="2"/>
        <v>44838</v>
      </c>
    </row>
    <row r="180" spans="1:1" x14ac:dyDescent="0.2">
      <c r="A180" s="144">
        <f t="shared" si="2"/>
        <v>44839</v>
      </c>
    </row>
    <row r="181" spans="1:1" x14ac:dyDescent="0.2">
      <c r="A181" s="144">
        <f t="shared" si="2"/>
        <v>44840</v>
      </c>
    </row>
    <row r="182" spans="1:1" x14ac:dyDescent="0.2">
      <c r="A182" s="144">
        <f t="shared" si="2"/>
        <v>44841</v>
      </c>
    </row>
    <row r="183" spans="1:1" x14ac:dyDescent="0.2">
      <c r="A183" s="144">
        <f t="shared" si="2"/>
        <v>44842</v>
      </c>
    </row>
    <row r="184" spans="1:1" x14ac:dyDescent="0.2">
      <c r="A184" s="144">
        <f t="shared" si="2"/>
        <v>44843</v>
      </c>
    </row>
    <row r="185" spans="1:1" x14ac:dyDescent="0.2">
      <c r="A185" s="144">
        <f t="shared" si="2"/>
        <v>44844</v>
      </c>
    </row>
    <row r="186" spans="1:1" x14ac:dyDescent="0.2">
      <c r="A186" s="144">
        <f t="shared" si="2"/>
        <v>44845</v>
      </c>
    </row>
    <row r="187" spans="1:1" x14ac:dyDescent="0.2">
      <c r="A187" s="144">
        <f t="shared" si="2"/>
        <v>44846</v>
      </c>
    </row>
    <row r="188" spans="1:1" x14ac:dyDescent="0.2">
      <c r="A188" s="144">
        <f t="shared" si="2"/>
        <v>44847</v>
      </c>
    </row>
    <row r="189" spans="1:1" x14ac:dyDescent="0.2">
      <c r="A189" s="144">
        <f t="shared" si="2"/>
        <v>44848</v>
      </c>
    </row>
    <row r="190" spans="1:1" x14ac:dyDescent="0.2">
      <c r="A190" s="144">
        <f t="shared" si="2"/>
        <v>44849</v>
      </c>
    </row>
    <row r="191" spans="1:1" x14ac:dyDescent="0.2">
      <c r="A191" s="144">
        <f t="shared" si="2"/>
        <v>44850</v>
      </c>
    </row>
    <row r="192" spans="1:1" x14ac:dyDescent="0.2">
      <c r="A192" s="144">
        <f t="shared" si="2"/>
        <v>44851</v>
      </c>
    </row>
    <row r="193" spans="1:1" x14ac:dyDescent="0.2">
      <c r="A193" s="144">
        <f t="shared" si="2"/>
        <v>44852</v>
      </c>
    </row>
    <row r="194" spans="1:1" x14ac:dyDescent="0.2">
      <c r="A194" s="144">
        <f t="shared" si="2"/>
        <v>44853</v>
      </c>
    </row>
    <row r="195" spans="1:1" x14ac:dyDescent="0.2">
      <c r="A195" s="144">
        <f t="shared" si="2"/>
        <v>44854</v>
      </c>
    </row>
    <row r="196" spans="1:1" x14ac:dyDescent="0.2">
      <c r="A196" s="144">
        <f t="shared" ref="A196:A259" si="3">A195+1</f>
        <v>44855</v>
      </c>
    </row>
    <row r="197" spans="1:1" x14ac:dyDescent="0.2">
      <c r="A197" s="144">
        <f t="shared" si="3"/>
        <v>44856</v>
      </c>
    </row>
    <row r="198" spans="1:1" x14ac:dyDescent="0.2">
      <c r="A198" s="144">
        <f t="shared" si="3"/>
        <v>44857</v>
      </c>
    </row>
    <row r="199" spans="1:1" x14ac:dyDescent="0.2">
      <c r="A199" s="144">
        <f t="shared" si="3"/>
        <v>44858</v>
      </c>
    </row>
    <row r="200" spans="1:1" x14ac:dyDescent="0.2">
      <c r="A200" s="144">
        <f t="shared" si="3"/>
        <v>44859</v>
      </c>
    </row>
    <row r="201" spans="1:1" x14ac:dyDescent="0.2">
      <c r="A201" s="144">
        <f t="shared" si="3"/>
        <v>44860</v>
      </c>
    </row>
    <row r="202" spans="1:1" x14ac:dyDescent="0.2">
      <c r="A202" s="144">
        <f t="shared" si="3"/>
        <v>44861</v>
      </c>
    </row>
    <row r="203" spans="1:1" x14ac:dyDescent="0.2">
      <c r="A203" s="144">
        <f t="shared" si="3"/>
        <v>44862</v>
      </c>
    </row>
    <row r="204" spans="1:1" x14ac:dyDescent="0.2">
      <c r="A204" s="144">
        <f t="shared" si="3"/>
        <v>44863</v>
      </c>
    </row>
    <row r="205" spans="1:1" x14ac:dyDescent="0.2">
      <c r="A205" s="144">
        <f t="shared" si="3"/>
        <v>44864</v>
      </c>
    </row>
    <row r="206" spans="1:1" x14ac:dyDescent="0.2">
      <c r="A206" s="144">
        <f t="shared" si="3"/>
        <v>44865</v>
      </c>
    </row>
    <row r="207" spans="1:1" x14ac:dyDescent="0.2">
      <c r="A207" s="144">
        <f t="shared" si="3"/>
        <v>44866</v>
      </c>
    </row>
    <row r="208" spans="1:1" x14ac:dyDescent="0.2">
      <c r="A208" s="144">
        <f t="shared" si="3"/>
        <v>44867</v>
      </c>
    </row>
    <row r="209" spans="1:1" x14ac:dyDescent="0.2">
      <c r="A209" s="144">
        <f t="shared" si="3"/>
        <v>44868</v>
      </c>
    </row>
    <row r="210" spans="1:1" x14ac:dyDescent="0.2">
      <c r="A210" s="144">
        <f t="shared" si="3"/>
        <v>44869</v>
      </c>
    </row>
    <row r="211" spans="1:1" x14ac:dyDescent="0.2">
      <c r="A211" s="144">
        <f t="shared" si="3"/>
        <v>44870</v>
      </c>
    </row>
    <row r="212" spans="1:1" x14ac:dyDescent="0.2">
      <c r="A212" s="144">
        <f t="shared" si="3"/>
        <v>44871</v>
      </c>
    </row>
    <row r="213" spans="1:1" x14ac:dyDescent="0.2">
      <c r="A213" s="144">
        <f t="shared" si="3"/>
        <v>44872</v>
      </c>
    </row>
    <row r="214" spans="1:1" x14ac:dyDescent="0.2">
      <c r="A214" s="144">
        <f t="shared" si="3"/>
        <v>44873</v>
      </c>
    </row>
    <row r="215" spans="1:1" x14ac:dyDescent="0.2">
      <c r="A215" s="144">
        <f t="shared" si="3"/>
        <v>44874</v>
      </c>
    </row>
    <row r="216" spans="1:1" x14ac:dyDescent="0.2">
      <c r="A216" s="144">
        <f t="shared" si="3"/>
        <v>44875</v>
      </c>
    </row>
    <row r="217" spans="1:1" x14ac:dyDescent="0.2">
      <c r="A217" s="144">
        <f t="shared" si="3"/>
        <v>44876</v>
      </c>
    </row>
    <row r="218" spans="1:1" x14ac:dyDescent="0.2">
      <c r="A218" s="144">
        <f t="shared" si="3"/>
        <v>44877</v>
      </c>
    </row>
    <row r="219" spans="1:1" x14ac:dyDescent="0.2">
      <c r="A219" s="144">
        <f t="shared" si="3"/>
        <v>44878</v>
      </c>
    </row>
    <row r="220" spans="1:1" x14ac:dyDescent="0.2">
      <c r="A220" s="144">
        <f t="shared" si="3"/>
        <v>44879</v>
      </c>
    </row>
    <row r="221" spans="1:1" x14ac:dyDescent="0.2">
      <c r="A221" s="144">
        <f t="shared" si="3"/>
        <v>44880</v>
      </c>
    </row>
    <row r="222" spans="1:1" x14ac:dyDescent="0.2">
      <c r="A222" s="144">
        <f t="shared" si="3"/>
        <v>44881</v>
      </c>
    </row>
    <row r="223" spans="1:1" x14ac:dyDescent="0.2">
      <c r="A223" s="144">
        <f t="shared" si="3"/>
        <v>44882</v>
      </c>
    </row>
    <row r="224" spans="1:1" x14ac:dyDescent="0.2">
      <c r="A224" s="144">
        <f t="shared" si="3"/>
        <v>44883</v>
      </c>
    </row>
    <row r="225" spans="1:1" x14ac:dyDescent="0.2">
      <c r="A225" s="144">
        <f t="shared" si="3"/>
        <v>44884</v>
      </c>
    </row>
    <row r="226" spans="1:1" x14ac:dyDescent="0.2">
      <c r="A226" s="144">
        <f t="shared" si="3"/>
        <v>44885</v>
      </c>
    </row>
    <row r="227" spans="1:1" x14ac:dyDescent="0.2">
      <c r="A227" s="144">
        <f t="shared" si="3"/>
        <v>44886</v>
      </c>
    </row>
    <row r="228" spans="1:1" x14ac:dyDescent="0.2">
      <c r="A228" s="144">
        <f t="shared" si="3"/>
        <v>44887</v>
      </c>
    </row>
    <row r="229" spans="1:1" x14ac:dyDescent="0.2">
      <c r="A229" s="144">
        <f t="shared" si="3"/>
        <v>44888</v>
      </c>
    </row>
    <row r="230" spans="1:1" x14ac:dyDescent="0.2">
      <c r="A230" s="144">
        <f t="shared" si="3"/>
        <v>44889</v>
      </c>
    </row>
    <row r="231" spans="1:1" x14ac:dyDescent="0.2">
      <c r="A231" s="144">
        <f t="shared" si="3"/>
        <v>44890</v>
      </c>
    </row>
    <row r="232" spans="1:1" x14ac:dyDescent="0.2">
      <c r="A232" s="144">
        <f t="shared" si="3"/>
        <v>44891</v>
      </c>
    </row>
    <row r="233" spans="1:1" x14ac:dyDescent="0.2">
      <c r="A233" s="144">
        <f t="shared" si="3"/>
        <v>44892</v>
      </c>
    </row>
    <row r="234" spans="1:1" x14ac:dyDescent="0.2">
      <c r="A234" s="144">
        <f t="shared" si="3"/>
        <v>44893</v>
      </c>
    </row>
    <row r="235" spans="1:1" x14ac:dyDescent="0.2">
      <c r="A235" s="144">
        <f t="shared" si="3"/>
        <v>44894</v>
      </c>
    </row>
    <row r="236" spans="1:1" x14ac:dyDescent="0.2">
      <c r="A236" s="144">
        <f t="shared" si="3"/>
        <v>44895</v>
      </c>
    </row>
    <row r="237" spans="1:1" x14ac:dyDescent="0.2">
      <c r="A237" s="144">
        <f t="shared" si="3"/>
        <v>44896</v>
      </c>
    </row>
    <row r="238" spans="1:1" x14ac:dyDescent="0.2">
      <c r="A238" s="144">
        <f t="shared" si="3"/>
        <v>44897</v>
      </c>
    </row>
    <row r="239" spans="1:1" x14ac:dyDescent="0.2">
      <c r="A239" s="144">
        <f t="shared" si="3"/>
        <v>44898</v>
      </c>
    </row>
    <row r="240" spans="1:1" x14ac:dyDescent="0.2">
      <c r="A240" s="144">
        <f t="shared" si="3"/>
        <v>44899</v>
      </c>
    </row>
    <row r="241" spans="1:1" x14ac:dyDescent="0.2">
      <c r="A241" s="144">
        <f t="shared" si="3"/>
        <v>44900</v>
      </c>
    </row>
    <row r="242" spans="1:1" x14ac:dyDescent="0.2">
      <c r="A242" s="144">
        <f t="shared" si="3"/>
        <v>44901</v>
      </c>
    </row>
    <row r="243" spans="1:1" x14ac:dyDescent="0.2">
      <c r="A243" s="144">
        <f t="shared" si="3"/>
        <v>44902</v>
      </c>
    </row>
    <row r="244" spans="1:1" x14ac:dyDescent="0.2">
      <c r="A244" s="144">
        <f t="shared" si="3"/>
        <v>44903</v>
      </c>
    </row>
    <row r="245" spans="1:1" x14ac:dyDescent="0.2">
      <c r="A245" s="144">
        <f t="shared" si="3"/>
        <v>44904</v>
      </c>
    </row>
    <row r="246" spans="1:1" x14ac:dyDescent="0.2">
      <c r="A246" s="144">
        <f t="shared" si="3"/>
        <v>44905</v>
      </c>
    </row>
    <row r="247" spans="1:1" x14ac:dyDescent="0.2">
      <c r="A247" s="144">
        <f t="shared" si="3"/>
        <v>44906</v>
      </c>
    </row>
    <row r="248" spans="1:1" x14ac:dyDescent="0.2">
      <c r="A248" s="144">
        <f t="shared" si="3"/>
        <v>44907</v>
      </c>
    </row>
    <row r="249" spans="1:1" x14ac:dyDescent="0.2">
      <c r="A249" s="144">
        <f t="shared" si="3"/>
        <v>44908</v>
      </c>
    </row>
    <row r="250" spans="1:1" x14ac:dyDescent="0.2">
      <c r="A250" s="144">
        <f t="shared" si="3"/>
        <v>44909</v>
      </c>
    </row>
    <row r="251" spans="1:1" x14ac:dyDescent="0.2">
      <c r="A251" s="144">
        <f t="shared" si="3"/>
        <v>44910</v>
      </c>
    </row>
    <row r="252" spans="1:1" x14ac:dyDescent="0.2">
      <c r="A252" s="144">
        <f t="shared" si="3"/>
        <v>44911</v>
      </c>
    </row>
    <row r="253" spans="1:1" x14ac:dyDescent="0.2">
      <c r="A253" s="144">
        <f t="shared" si="3"/>
        <v>44912</v>
      </c>
    </row>
    <row r="254" spans="1:1" x14ac:dyDescent="0.2">
      <c r="A254" s="144">
        <f t="shared" si="3"/>
        <v>44913</v>
      </c>
    </row>
    <row r="255" spans="1:1" x14ac:dyDescent="0.2">
      <c r="A255" s="144">
        <f t="shared" si="3"/>
        <v>44914</v>
      </c>
    </row>
    <row r="256" spans="1:1" x14ac:dyDescent="0.2">
      <c r="A256" s="144">
        <f t="shared" si="3"/>
        <v>44915</v>
      </c>
    </row>
    <row r="257" spans="1:1" x14ac:dyDescent="0.2">
      <c r="A257" s="144">
        <f t="shared" si="3"/>
        <v>44916</v>
      </c>
    </row>
    <row r="258" spans="1:1" x14ac:dyDescent="0.2">
      <c r="A258" s="144">
        <f t="shared" si="3"/>
        <v>44917</v>
      </c>
    </row>
    <row r="259" spans="1:1" x14ac:dyDescent="0.2">
      <c r="A259" s="144">
        <f t="shared" si="3"/>
        <v>44918</v>
      </c>
    </row>
    <row r="260" spans="1:1" x14ac:dyDescent="0.2">
      <c r="A260" s="144">
        <f t="shared" ref="A260:A323" si="4">A259+1</f>
        <v>44919</v>
      </c>
    </row>
    <row r="261" spans="1:1" x14ac:dyDescent="0.2">
      <c r="A261" s="144">
        <f t="shared" si="4"/>
        <v>44920</v>
      </c>
    </row>
    <row r="262" spans="1:1" x14ac:dyDescent="0.2">
      <c r="A262" s="144">
        <f t="shared" si="4"/>
        <v>44921</v>
      </c>
    </row>
    <row r="263" spans="1:1" x14ac:dyDescent="0.2">
      <c r="A263" s="144">
        <f t="shared" si="4"/>
        <v>44922</v>
      </c>
    </row>
    <row r="264" spans="1:1" x14ac:dyDescent="0.2">
      <c r="A264" s="144">
        <f t="shared" si="4"/>
        <v>44923</v>
      </c>
    </row>
    <row r="265" spans="1:1" x14ac:dyDescent="0.2">
      <c r="A265" s="144">
        <f t="shared" si="4"/>
        <v>44924</v>
      </c>
    </row>
    <row r="266" spans="1:1" x14ac:dyDescent="0.2">
      <c r="A266" s="144">
        <f t="shared" si="4"/>
        <v>44925</v>
      </c>
    </row>
    <row r="267" spans="1:1" x14ac:dyDescent="0.2">
      <c r="A267" s="144">
        <f t="shared" si="4"/>
        <v>44926</v>
      </c>
    </row>
    <row r="268" spans="1:1" x14ac:dyDescent="0.2">
      <c r="A268" s="144">
        <f t="shared" si="4"/>
        <v>44927</v>
      </c>
    </row>
    <row r="269" spans="1:1" x14ac:dyDescent="0.2">
      <c r="A269" s="144">
        <f t="shared" si="4"/>
        <v>44928</v>
      </c>
    </row>
    <row r="270" spans="1:1" x14ac:dyDescent="0.2">
      <c r="A270" s="144">
        <f t="shared" si="4"/>
        <v>44929</v>
      </c>
    </row>
    <row r="271" spans="1:1" x14ac:dyDescent="0.2">
      <c r="A271" s="144">
        <f t="shared" si="4"/>
        <v>44930</v>
      </c>
    </row>
    <row r="272" spans="1:1" x14ac:dyDescent="0.2">
      <c r="A272" s="144">
        <f t="shared" si="4"/>
        <v>44931</v>
      </c>
    </row>
    <row r="273" spans="1:1" x14ac:dyDescent="0.2">
      <c r="A273" s="144">
        <f t="shared" si="4"/>
        <v>44932</v>
      </c>
    </row>
    <row r="274" spans="1:1" x14ac:dyDescent="0.2">
      <c r="A274" s="144">
        <f t="shared" si="4"/>
        <v>44933</v>
      </c>
    </row>
    <row r="275" spans="1:1" x14ac:dyDescent="0.2">
      <c r="A275" s="144">
        <f t="shared" si="4"/>
        <v>44934</v>
      </c>
    </row>
    <row r="276" spans="1:1" x14ac:dyDescent="0.2">
      <c r="A276" s="144">
        <f t="shared" si="4"/>
        <v>44935</v>
      </c>
    </row>
    <row r="277" spans="1:1" x14ac:dyDescent="0.2">
      <c r="A277" s="144">
        <f t="shared" si="4"/>
        <v>44936</v>
      </c>
    </row>
    <row r="278" spans="1:1" x14ac:dyDescent="0.2">
      <c r="A278" s="144">
        <f t="shared" si="4"/>
        <v>44937</v>
      </c>
    </row>
    <row r="279" spans="1:1" x14ac:dyDescent="0.2">
      <c r="A279" s="144">
        <f t="shared" si="4"/>
        <v>44938</v>
      </c>
    </row>
    <row r="280" spans="1:1" x14ac:dyDescent="0.2">
      <c r="A280" s="144">
        <f t="shared" si="4"/>
        <v>44939</v>
      </c>
    </row>
    <row r="281" spans="1:1" x14ac:dyDescent="0.2">
      <c r="A281" s="144">
        <f t="shared" si="4"/>
        <v>44940</v>
      </c>
    </row>
    <row r="282" spans="1:1" x14ac:dyDescent="0.2">
      <c r="A282" s="144">
        <f t="shared" si="4"/>
        <v>44941</v>
      </c>
    </row>
    <row r="283" spans="1:1" x14ac:dyDescent="0.2">
      <c r="A283" s="144">
        <f t="shared" si="4"/>
        <v>44942</v>
      </c>
    </row>
    <row r="284" spans="1:1" x14ac:dyDescent="0.2">
      <c r="A284" s="144">
        <f t="shared" si="4"/>
        <v>44943</v>
      </c>
    </row>
    <row r="285" spans="1:1" x14ac:dyDescent="0.2">
      <c r="A285" s="144">
        <f t="shared" si="4"/>
        <v>44944</v>
      </c>
    </row>
    <row r="286" spans="1:1" x14ac:dyDescent="0.2">
      <c r="A286" s="144">
        <f t="shared" si="4"/>
        <v>44945</v>
      </c>
    </row>
    <row r="287" spans="1:1" x14ac:dyDescent="0.2">
      <c r="A287" s="144">
        <f t="shared" si="4"/>
        <v>44946</v>
      </c>
    </row>
    <row r="288" spans="1:1" x14ac:dyDescent="0.2">
      <c r="A288" s="144">
        <f t="shared" si="4"/>
        <v>44947</v>
      </c>
    </row>
    <row r="289" spans="1:1" x14ac:dyDescent="0.2">
      <c r="A289" s="144">
        <f t="shared" si="4"/>
        <v>44948</v>
      </c>
    </row>
    <row r="290" spans="1:1" x14ac:dyDescent="0.2">
      <c r="A290" s="144">
        <f t="shared" si="4"/>
        <v>44949</v>
      </c>
    </row>
    <row r="291" spans="1:1" x14ac:dyDescent="0.2">
      <c r="A291" s="144">
        <f t="shared" si="4"/>
        <v>44950</v>
      </c>
    </row>
    <row r="292" spans="1:1" x14ac:dyDescent="0.2">
      <c r="A292" s="144">
        <f t="shared" si="4"/>
        <v>44951</v>
      </c>
    </row>
    <row r="293" spans="1:1" x14ac:dyDescent="0.2">
      <c r="A293" s="144">
        <f t="shared" si="4"/>
        <v>44952</v>
      </c>
    </row>
    <row r="294" spans="1:1" x14ac:dyDescent="0.2">
      <c r="A294" s="144">
        <f t="shared" si="4"/>
        <v>44953</v>
      </c>
    </row>
    <row r="295" spans="1:1" x14ac:dyDescent="0.2">
      <c r="A295" s="144">
        <f t="shared" si="4"/>
        <v>44954</v>
      </c>
    </row>
    <row r="296" spans="1:1" x14ac:dyDescent="0.2">
      <c r="A296" s="144">
        <f t="shared" si="4"/>
        <v>44955</v>
      </c>
    </row>
    <row r="297" spans="1:1" x14ac:dyDescent="0.2">
      <c r="A297" s="144">
        <f t="shared" si="4"/>
        <v>44956</v>
      </c>
    </row>
    <row r="298" spans="1:1" x14ac:dyDescent="0.2">
      <c r="A298" s="144">
        <f t="shared" si="4"/>
        <v>44957</v>
      </c>
    </row>
    <row r="299" spans="1:1" x14ac:dyDescent="0.2">
      <c r="A299" s="144">
        <f t="shared" si="4"/>
        <v>44958</v>
      </c>
    </row>
    <row r="300" spans="1:1" x14ac:dyDescent="0.2">
      <c r="A300" s="144">
        <f t="shared" si="4"/>
        <v>44959</v>
      </c>
    </row>
    <row r="301" spans="1:1" x14ac:dyDescent="0.2">
      <c r="A301" s="144">
        <f t="shared" si="4"/>
        <v>44960</v>
      </c>
    </row>
    <row r="302" spans="1:1" x14ac:dyDescent="0.2">
      <c r="A302" s="144">
        <f t="shared" si="4"/>
        <v>44961</v>
      </c>
    </row>
    <row r="303" spans="1:1" x14ac:dyDescent="0.2">
      <c r="A303" s="144">
        <f t="shared" si="4"/>
        <v>44962</v>
      </c>
    </row>
    <row r="304" spans="1:1" x14ac:dyDescent="0.2">
      <c r="A304" s="144">
        <f t="shared" si="4"/>
        <v>44963</v>
      </c>
    </row>
    <row r="305" spans="1:1" x14ac:dyDescent="0.2">
      <c r="A305" s="144">
        <f t="shared" si="4"/>
        <v>44964</v>
      </c>
    </row>
    <row r="306" spans="1:1" x14ac:dyDescent="0.2">
      <c r="A306" s="144">
        <f t="shared" si="4"/>
        <v>44965</v>
      </c>
    </row>
    <row r="307" spans="1:1" x14ac:dyDescent="0.2">
      <c r="A307" s="144">
        <f t="shared" si="4"/>
        <v>44966</v>
      </c>
    </row>
    <row r="308" spans="1:1" x14ac:dyDescent="0.2">
      <c r="A308" s="144">
        <f t="shared" si="4"/>
        <v>44967</v>
      </c>
    </row>
    <row r="309" spans="1:1" x14ac:dyDescent="0.2">
      <c r="A309" s="144">
        <f t="shared" si="4"/>
        <v>44968</v>
      </c>
    </row>
    <row r="310" spans="1:1" x14ac:dyDescent="0.2">
      <c r="A310" s="144">
        <f t="shared" si="4"/>
        <v>44969</v>
      </c>
    </row>
    <row r="311" spans="1:1" x14ac:dyDescent="0.2">
      <c r="A311" s="144">
        <f t="shared" si="4"/>
        <v>44970</v>
      </c>
    </row>
    <row r="312" spans="1:1" x14ac:dyDescent="0.2">
      <c r="A312" s="144">
        <f t="shared" si="4"/>
        <v>44971</v>
      </c>
    </row>
    <row r="313" spans="1:1" x14ac:dyDescent="0.2">
      <c r="A313" s="144">
        <f t="shared" si="4"/>
        <v>44972</v>
      </c>
    </row>
    <row r="314" spans="1:1" x14ac:dyDescent="0.2">
      <c r="A314" s="144">
        <f t="shared" si="4"/>
        <v>44973</v>
      </c>
    </row>
    <row r="315" spans="1:1" x14ac:dyDescent="0.2">
      <c r="A315" s="144">
        <f t="shared" si="4"/>
        <v>44974</v>
      </c>
    </row>
    <row r="316" spans="1:1" x14ac:dyDescent="0.2">
      <c r="A316" s="144">
        <f t="shared" si="4"/>
        <v>44975</v>
      </c>
    </row>
    <row r="317" spans="1:1" x14ac:dyDescent="0.2">
      <c r="A317" s="144">
        <f t="shared" si="4"/>
        <v>44976</v>
      </c>
    </row>
    <row r="318" spans="1:1" x14ac:dyDescent="0.2">
      <c r="A318" s="144">
        <f t="shared" si="4"/>
        <v>44977</v>
      </c>
    </row>
    <row r="319" spans="1:1" x14ac:dyDescent="0.2">
      <c r="A319" s="144">
        <f t="shared" si="4"/>
        <v>44978</v>
      </c>
    </row>
    <row r="320" spans="1:1" x14ac:dyDescent="0.2">
      <c r="A320" s="144">
        <f t="shared" si="4"/>
        <v>44979</v>
      </c>
    </row>
    <row r="321" spans="1:1" x14ac:dyDescent="0.2">
      <c r="A321" s="144">
        <f t="shared" si="4"/>
        <v>44980</v>
      </c>
    </row>
    <row r="322" spans="1:1" x14ac:dyDescent="0.2">
      <c r="A322" s="144">
        <f t="shared" si="4"/>
        <v>44981</v>
      </c>
    </row>
    <row r="323" spans="1:1" x14ac:dyDescent="0.2">
      <c r="A323" s="144">
        <f t="shared" si="4"/>
        <v>44982</v>
      </c>
    </row>
    <row r="324" spans="1:1" x14ac:dyDescent="0.2">
      <c r="A324" s="144">
        <f t="shared" ref="A324:A387" si="5">A323+1</f>
        <v>44983</v>
      </c>
    </row>
    <row r="325" spans="1:1" x14ac:dyDescent="0.2">
      <c r="A325" s="144">
        <f t="shared" si="5"/>
        <v>44984</v>
      </c>
    </row>
    <row r="326" spans="1:1" x14ac:dyDescent="0.2">
      <c r="A326" s="144">
        <f t="shared" si="5"/>
        <v>44985</v>
      </c>
    </row>
    <row r="327" spans="1:1" x14ac:dyDescent="0.2">
      <c r="A327" s="144">
        <f t="shared" si="5"/>
        <v>44986</v>
      </c>
    </row>
    <row r="328" spans="1:1" x14ac:dyDescent="0.2">
      <c r="A328" s="144">
        <f t="shared" si="5"/>
        <v>44987</v>
      </c>
    </row>
    <row r="329" spans="1:1" x14ac:dyDescent="0.2">
      <c r="A329" s="144">
        <f t="shared" si="5"/>
        <v>44988</v>
      </c>
    </row>
    <row r="330" spans="1:1" x14ac:dyDescent="0.2">
      <c r="A330" s="144">
        <f t="shared" si="5"/>
        <v>44989</v>
      </c>
    </row>
    <row r="331" spans="1:1" x14ac:dyDescent="0.2">
      <c r="A331" s="144">
        <f t="shared" si="5"/>
        <v>44990</v>
      </c>
    </row>
    <row r="332" spans="1:1" x14ac:dyDescent="0.2">
      <c r="A332" s="144">
        <f t="shared" si="5"/>
        <v>44991</v>
      </c>
    </row>
    <row r="333" spans="1:1" x14ac:dyDescent="0.2">
      <c r="A333" s="144">
        <f t="shared" si="5"/>
        <v>44992</v>
      </c>
    </row>
    <row r="334" spans="1:1" x14ac:dyDescent="0.2">
      <c r="A334" s="144">
        <f t="shared" si="5"/>
        <v>44993</v>
      </c>
    </row>
    <row r="335" spans="1:1" x14ac:dyDescent="0.2">
      <c r="A335" s="144">
        <f t="shared" si="5"/>
        <v>44994</v>
      </c>
    </row>
    <row r="336" spans="1:1" x14ac:dyDescent="0.2">
      <c r="A336" s="144">
        <f t="shared" si="5"/>
        <v>44995</v>
      </c>
    </row>
    <row r="337" spans="1:1" x14ac:dyDescent="0.2">
      <c r="A337" s="144">
        <f t="shared" si="5"/>
        <v>44996</v>
      </c>
    </row>
    <row r="338" spans="1:1" x14ac:dyDescent="0.2">
      <c r="A338" s="144">
        <f t="shared" si="5"/>
        <v>44997</v>
      </c>
    </row>
    <row r="339" spans="1:1" x14ac:dyDescent="0.2">
      <c r="A339" s="144">
        <f t="shared" si="5"/>
        <v>44998</v>
      </c>
    </row>
    <row r="340" spans="1:1" x14ac:dyDescent="0.2">
      <c r="A340" s="144">
        <f t="shared" si="5"/>
        <v>44999</v>
      </c>
    </row>
    <row r="341" spans="1:1" x14ac:dyDescent="0.2">
      <c r="A341" s="144">
        <f t="shared" si="5"/>
        <v>45000</v>
      </c>
    </row>
    <row r="342" spans="1:1" x14ac:dyDescent="0.2">
      <c r="A342" s="144">
        <f t="shared" si="5"/>
        <v>45001</v>
      </c>
    </row>
    <row r="343" spans="1:1" x14ac:dyDescent="0.2">
      <c r="A343" s="144">
        <f t="shared" si="5"/>
        <v>45002</v>
      </c>
    </row>
    <row r="344" spans="1:1" x14ac:dyDescent="0.2">
      <c r="A344" s="144">
        <f t="shared" si="5"/>
        <v>45003</v>
      </c>
    </row>
    <row r="345" spans="1:1" x14ac:dyDescent="0.2">
      <c r="A345" s="144">
        <f t="shared" si="5"/>
        <v>45004</v>
      </c>
    </row>
    <row r="346" spans="1:1" x14ac:dyDescent="0.2">
      <c r="A346" s="144">
        <f t="shared" si="5"/>
        <v>45005</v>
      </c>
    </row>
    <row r="347" spans="1:1" x14ac:dyDescent="0.2">
      <c r="A347" s="144">
        <f t="shared" si="5"/>
        <v>45006</v>
      </c>
    </row>
    <row r="348" spans="1:1" x14ac:dyDescent="0.2">
      <c r="A348" s="144">
        <f t="shared" si="5"/>
        <v>45007</v>
      </c>
    </row>
    <row r="349" spans="1:1" x14ac:dyDescent="0.2">
      <c r="A349" s="144">
        <f t="shared" si="5"/>
        <v>45008</v>
      </c>
    </row>
    <row r="350" spans="1:1" x14ac:dyDescent="0.2">
      <c r="A350" s="144">
        <f t="shared" si="5"/>
        <v>45009</v>
      </c>
    </row>
    <row r="351" spans="1:1" x14ac:dyDescent="0.2">
      <c r="A351" s="144">
        <f t="shared" si="5"/>
        <v>45010</v>
      </c>
    </row>
    <row r="352" spans="1:1" x14ac:dyDescent="0.2">
      <c r="A352" s="144">
        <f t="shared" si="5"/>
        <v>45011</v>
      </c>
    </row>
    <row r="353" spans="1:1" x14ac:dyDescent="0.2">
      <c r="A353" s="144">
        <f t="shared" si="5"/>
        <v>45012</v>
      </c>
    </row>
    <row r="354" spans="1:1" x14ac:dyDescent="0.2">
      <c r="A354" s="144">
        <f t="shared" si="5"/>
        <v>45013</v>
      </c>
    </row>
    <row r="355" spans="1:1" x14ac:dyDescent="0.2">
      <c r="A355" s="144">
        <f t="shared" si="5"/>
        <v>45014</v>
      </c>
    </row>
    <row r="356" spans="1:1" x14ac:dyDescent="0.2">
      <c r="A356" s="144">
        <f t="shared" si="5"/>
        <v>45015</v>
      </c>
    </row>
    <row r="357" spans="1:1" x14ac:dyDescent="0.2">
      <c r="A357" s="144">
        <f t="shared" si="5"/>
        <v>45016</v>
      </c>
    </row>
    <row r="358" spans="1:1" x14ac:dyDescent="0.2">
      <c r="A358" s="144">
        <f t="shared" si="5"/>
        <v>45017</v>
      </c>
    </row>
    <row r="359" spans="1:1" x14ac:dyDescent="0.2">
      <c r="A359" s="144">
        <f t="shared" si="5"/>
        <v>45018</v>
      </c>
    </row>
    <row r="360" spans="1:1" x14ac:dyDescent="0.2">
      <c r="A360" s="144">
        <f t="shared" si="5"/>
        <v>45019</v>
      </c>
    </row>
    <row r="361" spans="1:1" x14ac:dyDescent="0.2">
      <c r="A361" s="144">
        <f t="shared" si="5"/>
        <v>45020</v>
      </c>
    </row>
    <row r="362" spans="1:1" x14ac:dyDescent="0.2">
      <c r="A362" s="144">
        <f t="shared" si="5"/>
        <v>45021</v>
      </c>
    </row>
    <row r="363" spans="1:1" x14ac:dyDescent="0.2">
      <c r="A363" s="144">
        <f t="shared" si="5"/>
        <v>45022</v>
      </c>
    </row>
    <row r="364" spans="1:1" x14ac:dyDescent="0.2">
      <c r="A364" s="144">
        <f t="shared" si="5"/>
        <v>45023</v>
      </c>
    </row>
    <row r="365" spans="1:1" x14ac:dyDescent="0.2">
      <c r="A365" s="144">
        <f t="shared" si="5"/>
        <v>45024</v>
      </c>
    </row>
    <row r="366" spans="1:1" x14ac:dyDescent="0.2">
      <c r="A366" s="144">
        <f t="shared" si="5"/>
        <v>45025</v>
      </c>
    </row>
    <row r="367" spans="1:1" x14ac:dyDescent="0.2">
      <c r="A367" s="144">
        <f t="shared" si="5"/>
        <v>45026</v>
      </c>
    </row>
    <row r="368" spans="1:1" x14ac:dyDescent="0.2">
      <c r="A368" s="144">
        <f t="shared" si="5"/>
        <v>45027</v>
      </c>
    </row>
    <row r="369" spans="1:1" x14ac:dyDescent="0.2">
      <c r="A369" s="144">
        <f t="shared" si="5"/>
        <v>45028</v>
      </c>
    </row>
    <row r="370" spans="1:1" x14ac:dyDescent="0.2">
      <c r="A370" s="144">
        <f t="shared" si="5"/>
        <v>45029</v>
      </c>
    </row>
    <row r="371" spans="1:1" x14ac:dyDescent="0.2">
      <c r="A371" s="144">
        <f t="shared" si="5"/>
        <v>45030</v>
      </c>
    </row>
    <row r="372" spans="1:1" x14ac:dyDescent="0.2">
      <c r="A372" s="144">
        <f t="shared" si="5"/>
        <v>45031</v>
      </c>
    </row>
    <row r="373" spans="1:1" x14ac:dyDescent="0.2">
      <c r="A373" s="144">
        <f t="shared" si="5"/>
        <v>45032</v>
      </c>
    </row>
    <row r="374" spans="1:1" x14ac:dyDescent="0.2">
      <c r="A374" s="144">
        <f t="shared" si="5"/>
        <v>45033</v>
      </c>
    </row>
    <row r="375" spans="1:1" x14ac:dyDescent="0.2">
      <c r="A375" s="144">
        <f t="shared" si="5"/>
        <v>45034</v>
      </c>
    </row>
    <row r="376" spans="1:1" x14ac:dyDescent="0.2">
      <c r="A376" s="144">
        <f t="shared" si="5"/>
        <v>45035</v>
      </c>
    </row>
    <row r="377" spans="1:1" x14ac:dyDescent="0.2">
      <c r="A377" s="144">
        <f t="shared" si="5"/>
        <v>45036</v>
      </c>
    </row>
    <row r="378" spans="1:1" x14ac:dyDescent="0.2">
      <c r="A378" s="144">
        <f t="shared" si="5"/>
        <v>45037</v>
      </c>
    </row>
    <row r="379" spans="1:1" x14ac:dyDescent="0.2">
      <c r="A379" s="144">
        <f t="shared" si="5"/>
        <v>45038</v>
      </c>
    </row>
    <row r="380" spans="1:1" x14ac:dyDescent="0.2">
      <c r="A380" s="144">
        <f t="shared" si="5"/>
        <v>45039</v>
      </c>
    </row>
    <row r="381" spans="1:1" x14ac:dyDescent="0.2">
      <c r="A381" s="144">
        <f t="shared" si="5"/>
        <v>45040</v>
      </c>
    </row>
    <row r="382" spans="1:1" x14ac:dyDescent="0.2">
      <c r="A382" s="144">
        <f t="shared" si="5"/>
        <v>45041</v>
      </c>
    </row>
    <row r="383" spans="1:1" x14ac:dyDescent="0.2">
      <c r="A383" s="144">
        <f t="shared" si="5"/>
        <v>45042</v>
      </c>
    </row>
    <row r="384" spans="1:1" x14ac:dyDescent="0.2">
      <c r="A384" s="144">
        <f t="shared" si="5"/>
        <v>45043</v>
      </c>
    </row>
    <row r="385" spans="1:1" x14ac:dyDescent="0.2">
      <c r="A385" s="144">
        <f t="shared" si="5"/>
        <v>45044</v>
      </c>
    </row>
    <row r="386" spans="1:1" x14ac:dyDescent="0.2">
      <c r="A386" s="144">
        <f t="shared" si="5"/>
        <v>45045</v>
      </c>
    </row>
    <row r="387" spans="1:1" x14ac:dyDescent="0.2">
      <c r="A387" s="144">
        <f t="shared" si="5"/>
        <v>45046</v>
      </c>
    </row>
    <row r="388" spans="1:1" x14ac:dyDescent="0.2">
      <c r="A388" s="144">
        <f t="shared" ref="A388:A451" si="6">A387+1</f>
        <v>45047</v>
      </c>
    </row>
    <row r="389" spans="1:1" x14ac:dyDescent="0.2">
      <c r="A389" s="144">
        <f t="shared" si="6"/>
        <v>45048</v>
      </c>
    </row>
    <row r="390" spans="1:1" x14ac:dyDescent="0.2">
      <c r="A390" s="144">
        <f t="shared" si="6"/>
        <v>45049</v>
      </c>
    </row>
    <row r="391" spans="1:1" x14ac:dyDescent="0.2">
      <c r="A391" s="144">
        <f t="shared" si="6"/>
        <v>45050</v>
      </c>
    </row>
    <row r="392" spans="1:1" x14ac:dyDescent="0.2">
      <c r="A392" s="144">
        <f t="shared" si="6"/>
        <v>45051</v>
      </c>
    </row>
    <row r="393" spans="1:1" x14ac:dyDescent="0.2">
      <c r="A393" s="144">
        <f t="shared" si="6"/>
        <v>45052</v>
      </c>
    </row>
    <row r="394" spans="1:1" x14ac:dyDescent="0.2">
      <c r="A394" s="144">
        <f t="shared" si="6"/>
        <v>45053</v>
      </c>
    </row>
    <row r="395" spans="1:1" x14ac:dyDescent="0.2">
      <c r="A395" s="144">
        <f t="shared" si="6"/>
        <v>45054</v>
      </c>
    </row>
    <row r="396" spans="1:1" x14ac:dyDescent="0.2">
      <c r="A396" s="144">
        <f t="shared" si="6"/>
        <v>45055</v>
      </c>
    </row>
    <row r="397" spans="1:1" x14ac:dyDescent="0.2">
      <c r="A397" s="144">
        <f t="shared" si="6"/>
        <v>45056</v>
      </c>
    </row>
    <row r="398" spans="1:1" x14ac:dyDescent="0.2">
      <c r="A398" s="144">
        <f t="shared" si="6"/>
        <v>45057</v>
      </c>
    </row>
    <row r="399" spans="1:1" x14ac:dyDescent="0.2">
      <c r="A399" s="144">
        <f t="shared" si="6"/>
        <v>45058</v>
      </c>
    </row>
    <row r="400" spans="1:1" x14ac:dyDescent="0.2">
      <c r="A400" s="144">
        <f t="shared" si="6"/>
        <v>45059</v>
      </c>
    </row>
    <row r="401" spans="1:1" x14ac:dyDescent="0.2">
      <c r="A401" s="144">
        <f t="shared" si="6"/>
        <v>45060</v>
      </c>
    </row>
    <row r="402" spans="1:1" x14ac:dyDescent="0.2">
      <c r="A402" s="144">
        <f t="shared" si="6"/>
        <v>45061</v>
      </c>
    </row>
    <row r="403" spans="1:1" x14ac:dyDescent="0.2">
      <c r="A403" s="144">
        <f t="shared" si="6"/>
        <v>45062</v>
      </c>
    </row>
    <row r="404" spans="1:1" x14ac:dyDescent="0.2">
      <c r="A404" s="144">
        <f t="shared" si="6"/>
        <v>45063</v>
      </c>
    </row>
    <row r="405" spans="1:1" x14ac:dyDescent="0.2">
      <c r="A405" s="144">
        <f t="shared" si="6"/>
        <v>45064</v>
      </c>
    </row>
    <row r="406" spans="1:1" x14ac:dyDescent="0.2">
      <c r="A406" s="144">
        <f t="shared" si="6"/>
        <v>45065</v>
      </c>
    </row>
    <row r="407" spans="1:1" x14ac:dyDescent="0.2">
      <c r="A407" s="144">
        <f t="shared" si="6"/>
        <v>45066</v>
      </c>
    </row>
    <row r="408" spans="1:1" x14ac:dyDescent="0.2">
      <c r="A408" s="144">
        <f t="shared" si="6"/>
        <v>45067</v>
      </c>
    </row>
    <row r="409" spans="1:1" x14ac:dyDescent="0.2">
      <c r="A409" s="144">
        <f t="shared" si="6"/>
        <v>45068</v>
      </c>
    </row>
    <row r="410" spans="1:1" x14ac:dyDescent="0.2">
      <c r="A410" s="144">
        <f t="shared" si="6"/>
        <v>45069</v>
      </c>
    </row>
    <row r="411" spans="1:1" x14ac:dyDescent="0.2">
      <c r="A411" s="144">
        <f t="shared" si="6"/>
        <v>45070</v>
      </c>
    </row>
    <row r="412" spans="1:1" x14ac:dyDescent="0.2">
      <c r="A412" s="144">
        <f t="shared" si="6"/>
        <v>45071</v>
      </c>
    </row>
    <row r="413" spans="1:1" x14ac:dyDescent="0.2">
      <c r="A413" s="144">
        <f t="shared" si="6"/>
        <v>45072</v>
      </c>
    </row>
    <row r="414" spans="1:1" x14ac:dyDescent="0.2">
      <c r="A414" s="144">
        <f t="shared" si="6"/>
        <v>45073</v>
      </c>
    </row>
    <row r="415" spans="1:1" x14ac:dyDescent="0.2">
      <c r="A415" s="144">
        <f t="shared" si="6"/>
        <v>45074</v>
      </c>
    </row>
    <row r="416" spans="1:1" x14ac:dyDescent="0.2">
      <c r="A416" s="144">
        <f t="shared" si="6"/>
        <v>45075</v>
      </c>
    </row>
    <row r="417" spans="1:1" x14ac:dyDescent="0.2">
      <c r="A417" s="144">
        <f t="shared" si="6"/>
        <v>45076</v>
      </c>
    </row>
    <row r="418" spans="1:1" x14ac:dyDescent="0.2">
      <c r="A418" s="144">
        <f t="shared" si="6"/>
        <v>45077</v>
      </c>
    </row>
    <row r="419" spans="1:1" x14ac:dyDescent="0.2">
      <c r="A419" s="144">
        <f t="shared" si="6"/>
        <v>45078</v>
      </c>
    </row>
    <row r="420" spans="1:1" x14ac:dyDescent="0.2">
      <c r="A420" s="144">
        <f t="shared" si="6"/>
        <v>45079</v>
      </c>
    </row>
    <row r="421" spans="1:1" x14ac:dyDescent="0.2">
      <c r="A421" s="144">
        <f t="shared" si="6"/>
        <v>45080</v>
      </c>
    </row>
    <row r="422" spans="1:1" x14ac:dyDescent="0.2">
      <c r="A422" s="144">
        <f t="shared" si="6"/>
        <v>45081</v>
      </c>
    </row>
    <row r="423" spans="1:1" x14ac:dyDescent="0.2">
      <c r="A423" s="144">
        <f t="shared" si="6"/>
        <v>45082</v>
      </c>
    </row>
    <row r="424" spans="1:1" x14ac:dyDescent="0.2">
      <c r="A424" s="144">
        <f t="shared" si="6"/>
        <v>45083</v>
      </c>
    </row>
    <row r="425" spans="1:1" x14ac:dyDescent="0.2">
      <c r="A425" s="144">
        <f t="shared" si="6"/>
        <v>45084</v>
      </c>
    </row>
    <row r="426" spans="1:1" x14ac:dyDescent="0.2">
      <c r="A426" s="144">
        <f t="shared" si="6"/>
        <v>45085</v>
      </c>
    </row>
    <row r="427" spans="1:1" x14ac:dyDescent="0.2">
      <c r="A427" s="144">
        <f t="shared" si="6"/>
        <v>45086</v>
      </c>
    </row>
    <row r="428" spans="1:1" x14ac:dyDescent="0.2">
      <c r="A428" s="144">
        <f t="shared" si="6"/>
        <v>45087</v>
      </c>
    </row>
    <row r="429" spans="1:1" x14ac:dyDescent="0.2">
      <c r="A429" s="144">
        <f t="shared" si="6"/>
        <v>45088</v>
      </c>
    </row>
    <row r="430" spans="1:1" x14ac:dyDescent="0.2">
      <c r="A430" s="144">
        <f t="shared" si="6"/>
        <v>45089</v>
      </c>
    </row>
    <row r="431" spans="1:1" x14ac:dyDescent="0.2">
      <c r="A431" s="144">
        <f t="shared" si="6"/>
        <v>45090</v>
      </c>
    </row>
    <row r="432" spans="1:1" x14ac:dyDescent="0.2">
      <c r="A432" s="144">
        <f t="shared" si="6"/>
        <v>45091</v>
      </c>
    </row>
    <row r="433" spans="1:1" x14ac:dyDescent="0.2">
      <c r="A433" s="144">
        <f t="shared" si="6"/>
        <v>45092</v>
      </c>
    </row>
    <row r="434" spans="1:1" x14ac:dyDescent="0.2">
      <c r="A434" s="144">
        <f t="shared" si="6"/>
        <v>45093</v>
      </c>
    </row>
    <row r="435" spans="1:1" x14ac:dyDescent="0.2">
      <c r="A435" s="144">
        <f t="shared" si="6"/>
        <v>45094</v>
      </c>
    </row>
    <row r="436" spans="1:1" x14ac:dyDescent="0.2">
      <c r="A436" s="144">
        <f t="shared" si="6"/>
        <v>45095</v>
      </c>
    </row>
    <row r="437" spans="1:1" x14ac:dyDescent="0.2">
      <c r="A437" s="144">
        <f t="shared" si="6"/>
        <v>45096</v>
      </c>
    </row>
    <row r="438" spans="1:1" x14ac:dyDescent="0.2">
      <c r="A438" s="144">
        <f t="shared" si="6"/>
        <v>45097</v>
      </c>
    </row>
    <row r="439" spans="1:1" x14ac:dyDescent="0.2">
      <c r="A439" s="144">
        <f t="shared" si="6"/>
        <v>45098</v>
      </c>
    </row>
    <row r="440" spans="1:1" x14ac:dyDescent="0.2">
      <c r="A440" s="144">
        <f t="shared" si="6"/>
        <v>45099</v>
      </c>
    </row>
    <row r="441" spans="1:1" x14ac:dyDescent="0.2">
      <c r="A441" s="144">
        <f t="shared" si="6"/>
        <v>45100</v>
      </c>
    </row>
    <row r="442" spans="1:1" x14ac:dyDescent="0.2">
      <c r="A442" s="144">
        <f t="shared" si="6"/>
        <v>45101</v>
      </c>
    </row>
    <row r="443" spans="1:1" x14ac:dyDescent="0.2">
      <c r="A443" s="144">
        <f t="shared" si="6"/>
        <v>45102</v>
      </c>
    </row>
    <row r="444" spans="1:1" x14ac:dyDescent="0.2">
      <c r="A444" s="144">
        <f t="shared" si="6"/>
        <v>45103</v>
      </c>
    </row>
    <row r="445" spans="1:1" x14ac:dyDescent="0.2">
      <c r="A445" s="144">
        <f t="shared" si="6"/>
        <v>45104</v>
      </c>
    </row>
    <row r="446" spans="1:1" x14ac:dyDescent="0.2">
      <c r="A446" s="144">
        <f t="shared" si="6"/>
        <v>45105</v>
      </c>
    </row>
    <row r="447" spans="1:1" x14ac:dyDescent="0.2">
      <c r="A447" s="144">
        <f t="shared" si="6"/>
        <v>45106</v>
      </c>
    </row>
    <row r="448" spans="1:1" x14ac:dyDescent="0.2">
      <c r="A448" s="144">
        <f t="shared" si="6"/>
        <v>45107</v>
      </c>
    </row>
    <row r="449" spans="1:1" x14ac:dyDescent="0.2">
      <c r="A449" s="144">
        <f t="shared" si="6"/>
        <v>45108</v>
      </c>
    </row>
    <row r="450" spans="1:1" x14ac:dyDescent="0.2">
      <c r="A450" s="144">
        <f t="shared" si="6"/>
        <v>45109</v>
      </c>
    </row>
    <row r="451" spans="1:1" x14ac:dyDescent="0.2">
      <c r="A451" s="144">
        <f t="shared" si="6"/>
        <v>45110</v>
      </c>
    </row>
    <row r="452" spans="1:1" x14ac:dyDescent="0.2">
      <c r="A452" s="144">
        <f t="shared" ref="A452:A515" si="7">A451+1</f>
        <v>45111</v>
      </c>
    </row>
    <row r="453" spans="1:1" x14ac:dyDescent="0.2">
      <c r="A453" s="144">
        <f t="shared" si="7"/>
        <v>45112</v>
      </c>
    </row>
    <row r="454" spans="1:1" x14ac:dyDescent="0.2">
      <c r="A454" s="144">
        <f t="shared" si="7"/>
        <v>45113</v>
      </c>
    </row>
    <row r="455" spans="1:1" x14ac:dyDescent="0.2">
      <c r="A455" s="144">
        <f t="shared" si="7"/>
        <v>45114</v>
      </c>
    </row>
    <row r="456" spans="1:1" x14ac:dyDescent="0.2">
      <c r="A456" s="144">
        <f t="shared" si="7"/>
        <v>45115</v>
      </c>
    </row>
    <row r="457" spans="1:1" x14ac:dyDescent="0.2">
      <c r="A457" s="144">
        <f t="shared" si="7"/>
        <v>45116</v>
      </c>
    </row>
    <row r="458" spans="1:1" x14ac:dyDescent="0.2">
      <c r="A458" s="144">
        <f t="shared" si="7"/>
        <v>45117</v>
      </c>
    </row>
    <row r="459" spans="1:1" x14ac:dyDescent="0.2">
      <c r="A459" s="144">
        <f t="shared" si="7"/>
        <v>45118</v>
      </c>
    </row>
    <row r="460" spans="1:1" x14ac:dyDescent="0.2">
      <c r="A460" s="144">
        <f t="shared" si="7"/>
        <v>45119</v>
      </c>
    </row>
    <row r="461" spans="1:1" x14ac:dyDescent="0.2">
      <c r="A461" s="144">
        <f t="shared" si="7"/>
        <v>45120</v>
      </c>
    </row>
    <row r="462" spans="1:1" x14ac:dyDescent="0.2">
      <c r="A462" s="144">
        <f t="shared" si="7"/>
        <v>45121</v>
      </c>
    </row>
    <row r="463" spans="1:1" x14ac:dyDescent="0.2">
      <c r="A463" s="144">
        <f t="shared" si="7"/>
        <v>45122</v>
      </c>
    </row>
    <row r="464" spans="1:1" x14ac:dyDescent="0.2">
      <c r="A464" s="144">
        <f t="shared" si="7"/>
        <v>45123</v>
      </c>
    </row>
    <row r="465" spans="1:1" x14ac:dyDescent="0.2">
      <c r="A465" s="144">
        <f t="shared" si="7"/>
        <v>45124</v>
      </c>
    </row>
    <row r="466" spans="1:1" x14ac:dyDescent="0.2">
      <c r="A466" s="144">
        <f t="shared" si="7"/>
        <v>45125</v>
      </c>
    </row>
    <row r="467" spans="1:1" x14ac:dyDescent="0.2">
      <c r="A467" s="144">
        <f t="shared" si="7"/>
        <v>45126</v>
      </c>
    </row>
    <row r="468" spans="1:1" x14ac:dyDescent="0.2">
      <c r="A468" s="144">
        <f t="shared" si="7"/>
        <v>45127</v>
      </c>
    </row>
    <row r="469" spans="1:1" x14ac:dyDescent="0.2">
      <c r="A469" s="144">
        <f t="shared" si="7"/>
        <v>45128</v>
      </c>
    </row>
    <row r="470" spans="1:1" x14ac:dyDescent="0.2">
      <c r="A470" s="144">
        <f t="shared" si="7"/>
        <v>45129</v>
      </c>
    </row>
    <row r="471" spans="1:1" x14ac:dyDescent="0.2">
      <c r="A471" s="144">
        <f t="shared" si="7"/>
        <v>45130</v>
      </c>
    </row>
    <row r="472" spans="1:1" x14ac:dyDescent="0.2">
      <c r="A472" s="144">
        <f t="shared" si="7"/>
        <v>45131</v>
      </c>
    </row>
    <row r="473" spans="1:1" x14ac:dyDescent="0.2">
      <c r="A473" s="144">
        <f t="shared" si="7"/>
        <v>45132</v>
      </c>
    </row>
    <row r="474" spans="1:1" x14ac:dyDescent="0.2">
      <c r="A474" s="144">
        <f t="shared" si="7"/>
        <v>45133</v>
      </c>
    </row>
    <row r="475" spans="1:1" x14ac:dyDescent="0.2">
      <c r="A475" s="144">
        <f t="shared" si="7"/>
        <v>45134</v>
      </c>
    </row>
    <row r="476" spans="1:1" x14ac:dyDescent="0.2">
      <c r="A476" s="144">
        <f t="shared" si="7"/>
        <v>45135</v>
      </c>
    </row>
    <row r="477" spans="1:1" x14ac:dyDescent="0.2">
      <c r="A477" s="144">
        <f t="shared" si="7"/>
        <v>45136</v>
      </c>
    </row>
    <row r="478" spans="1:1" x14ac:dyDescent="0.2">
      <c r="A478" s="144">
        <f t="shared" si="7"/>
        <v>45137</v>
      </c>
    </row>
    <row r="479" spans="1:1" x14ac:dyDescent="0.2">
      <c r="A479" s="144">
        <f t="shared" si="7"/>
        <v>45138</v>
      </c>
    </row>
    <row r="480" spans="1:1" x14ac:dyDescent="0.2">
      <c r="A480" s="144">
        <f t="shared" si="7"/>
        <v>45139</v>
      </c>
    </row>
    <row r="481" spans="1:1" x14ac:dyDescent="0.2">
      <c r="A481" s="144">
        <f t="shared" si="7"/>
        <v>45140</v>
      </c>
    </row>
    <row r="482" spans="1:1" x14ac:dyDescent="0.2">
      <c r="A482" s="144">
        <f t="shared" si="7"/>
        <v>45141</v>
      </c>
    </row>
    <row r="483" spans="1:1" x14ac:dyDescent="0.2">
      <c r="A483" s="144">
        <f t="shared" si="7"/>
        <v>45142</v>
      </c>
    </row>
    <row r="484" spans="1:1" x14ac:dyDescent="0.2">
      <c r="A484" s="144">
        <f t="shared" si="7"/>
        <v>45143</v>
      </c>
    </row>
    <row r="485" spans="1:1" x14ac:dyDescent="0.2">
      <c r="A485" s="144">
        <f t="shared" si="7"/>
        <v>45144</v>
      </c>
    </row>
    <row r="486" spans="1:1" x14ac:dyDescent="0.2">
      <c r="A486" s="144">
        <f t="shared" si="7"/>
        <v>45145</v>
      </c>
    </row>
    <row r="487" spans="1:1" x14ac:dyDescent="0.2">
      <c r="A487" s="144">
        <f t="shared" si="7"/>
        <v>45146</v>
      </c>
    </row>
    <row r="488" spans="1:1" x14ac:dyDescent="0.2">
      <c r="A488" s="144">
        <f t="shared" si="7"/>
        <v>45147</v>
      </c>
    </row>
    <row r="489" spans="1:1" x14ac:dyDescent="0.2">
      <c r="A489" s="144">
        <f t="shared" si="7"/>
        <v>45148</v>
      </c>
    </row>
    <row r="490" spans="1:1" x14ac:dyDescent="0.2">
      <c r="A490" s="144">
        <f t="shared" si="7"/>
        <v>45149</v>
      </c>
    </row>
    <row r="491" spans="1:1" x14ac:dyDescent="0.2">
      <c r="A491" s="144">
        <f t="shared" si="7"/>
        <v>45150</v>
      </c>
    </row>
    <row r="492" spans="1:1" x14ac:dyDescent="0.2">
      <c r="A492" s="144">
        <f t="shared" si="7"/>
        <v>45151</v>
      </c>
    </row>
    <row r="493" spans="1:1" x14ac:dyDescent="0.2">
      <c r="A493" s="144">
        <f t="shared" si="7"/>
        <v>45152</v>
      </c>
    </row>
    <row r="494" spans="1:1" x14ac:dyDescent="0.2">
      <c r="A494" s="144">
        <f t="shared" si="7"/>
        <v>45153</v>
      </c>
    </row>
    <row r="495" spans="1:1" x14ac:dyDescent="0.2">
      <c r="A495" s="144">
        <f t="shared" si="7"/>
        <v>45154</v>
      </c>
    </row>
    <row r="496" spans="1:1" x14ac:dyDescent="0.2">
      <c r="A496" s="144">
        <f t="shared" si="7"/>
        <v>45155</v>
      </c>
    </row>
    <row r="497" spans="1:1" x14ac:dyDescent="0.2">
      <c r="A497" s="144">
        <f t="shared" si="7"/>
        <v>45156</v>
      </c>
    </row>
    <row r="498" spans="1:1" x14ac:dyDescent="0.2">
      <c r="A498" s="144">
        <f t="shared" si="7"/>
        <v>45157</v>
      </c>
    </row>
    <row r="499" spans="1:1" x14ac:dyDescent="0.2">
      <c r="A499" s="144">
        <f t="shared" si="7"/>
        <v>45158</v>
      </c>
    </row>
    <row r="500" spans="1:1" x14ac:dyDescent="0.2">
      <c r="A500" s="144">
        <f t="shared" si="7"/>
        <v>45159</v>
      </c>
    </row>
    <row r="501" spans="1:1" x14ac:dyDescent="0.2">
      <c r="A501" s="144">
        <f t="shared" si="7"/>
        <v>45160</v>
      </c>
    </row>
    <row r="502" spans="1:1" x14ac:dyDescent="0.2">
      <c r="A502" s="144">
        <f t="shared" si="7"/>
        <v>45161</v>
      </c>
    </row>
    <row r="503" spans="1:1" x14ac:dyDescent="0.2">
      <c r="A503" s="144">
        <f t="shared" si="7"/>
        <v>45162</v>
      </c>
    </row>
    <row r="504" spans="1:1" x14ac:dyDescent="0.2">
      <c r="A504" s="144">
        <f t="shared" si="7"/>
        <v>45163</v>
      </c>
    </row>
    <row r="505" spans="1:1" x14ac:dyDescent="0.2">
      <c r="A505" s="144">
        <f t="shared" si="7"/>
        <v>45164</v>
      </c>
    </row>
    <row r="506" spans="1:1" x14ac:dyDescent="0.2">
      <c r="A506" s="144">
        <f t="shared" si="7"/>
        <v>45165</v>
      </c>
    </row>
    <row r="507" spans="1:1" x14ac:dyDescent="0.2">
      <c r="A507" s="144">
        <f t="shared" si="7"/>
        <v>45166</v>
      </c>
    </row>
    <row r="508" spans="1:1" x14ac:dyDescent="0.2">
      <c r="A508" s="144">
        <f t="shared" si="7"/>
        <v>45167</v>
      </c>
    </row>
    <row r="509" spans="1:1" x14ac:dyDescent="0.2">
      <c r="A509" s="144">
        <f t="shared" si="7"/>
        <v>45168</v>
      </c>
    </row>
    <row r="510" spans="1:1" x14ac:dyDescent="0.2">
      <c r="A510" s="144">
        <f t="shared" si="7"/>
        <v>45169</v>
      </c>
    </row>
    <row r="511" spans="1:1" x14ac:dyDescent="0.2">
      <c r="A511" s="144">
        <f t="shared" si="7"/>
        <v>45170</v>
      </c>
    </row>
    <row r="512" spans="1:1" x14ac:dyDescent="0.2">
      <c r="A512" s="144">
        <f t="shared" si="7"/>
        <v>45171</v>
      </c>
    </row>
    <row r="513" spans="1:1" x14ac:dyDescent="0.2">
      <c r="A513" s="144">
        <f t="shared" si="7"/>
        <v>45172</v>
      </c>
    </row>
    <row r="514" spans="1:1" x14ac:dyDescent="0.2">
      <c r="A514" s="144">
        <f t="shared" si="7"/>
        <v>45173</v>
      </c>
    </row>
    <row r="515" spans="1:1" x14ac:dyDescent="0.2">
      <c r="A515" s="144">
        <f t="shared" si="7"/>
        <v>45174</v>
      </c>
    </row>
    <row r="516" spans="1:1" x14ac:dyDescent="0.2">
      <c r="A516" s="144">
        <f t="shared" ref="A516:A579" si="8">A515+1</f>
        <v>45175</v>
      </c>
    </row>
    <row r="517" spans="1:1" x14ac:dyDescent="0.2">
      <c r="A517" s="144">
        <f t="shared" si="8"/>
        <v>45176</v>
      </c>
    </row>
    <row r="518" spans="1:1" x14ac:dyDescent="0.2">
      <c r="A518" s="144">
        <f t="shared" si="8"/>
        <v>45177</v>
      </c>
    </row>
    <row r="519" spans="1:1" x14ac:dyDescent="0.2">
      <c r="A519" s="144">
        <f t="shared" si="8"/>
        <v>45178</v>
      </c>
    </row>
    <row r="520" spans="1:1" x14ac:dyDescent="0.2">
      <c r="A520" s="144">
        <f t="shared" si="8"/>
        <v>45179</v>
      </c>
    </row>
    <row r="521" spans="1:1" x14ac:dyDescent="0.2">
      <c r="A521" s="144">
        <f t="shared" si="8"/>
        <v>45180</v>
      </c>
    </row>
    <row r="522" spans="1:1" x14ac:dyDescent="0.2">
      <c r="A522" s="144">
        <f t="shared" si="8"/>
        <v>45181</v>
      </c>
    </row>
    <row r="523" spans="1:1" x14ac:dyDescent="0.2">
      <c r="A523" s="144">
        <f t="shared" si="8"/>
        <v>45182</v>
      </c>
    </row>
    <row r="524" spans="1:1" x14ac:dyDescent="0.2">
      <c r="A524" s="144">
        <f t="shared" si="8"/>
        <v>45183</v>
      </c>
    </row>
    <row r="525" spans="1:1" x14ac:dyDescent="0.2">
      <c r="A525" s="144">
        <f t="shared" si="8"/>
        <v>45184</v>
      </c>
    </row>
    <row r="526" spans="1:1" x14ac:dyDescent="0.2">
      <c r="A526" s="144">
        <f t="shared" si="8"/>
        <v>45185</v>
      </c>
    </row>
    <row r="527" spans="1:1" x14ac:dyDescent="0.2">
      <c r="A527" s="144">
        <f t="shared" si="8"/>
        <v>45186</v>
      </c>
    </row>
    <row r="528" spans="1:1" x14ac:dyDescent="0.2">
      <c r="A528" s="144">
        <f t="shared" si="8"/>
        <v>45187</v>
      </c>
    </row>
    <row r="529" spans="1:1" x14ac:dyDescent="0.2">
      <c r="A529" s="144">
        <f t="shared" si="8"/>
        <v>45188</v>
      </c>
    </row>
    <row r="530" spans="1:1" x14ac:dyDescent="0.2">
      <c r="A530" s="144">
        <f t="shared" si="8"/>
        <v>45189</v>
      </c>
    </row>
    <row r="531" spans="1:1" x14ac:dyDescent="0.2">
      <c r="A531" s="144">
        <f t="shared" si="8"/>
        <v>45190</v>
      </c>
    </row>
    <row r="532" spans="1:1" x14ac:dyDescent="0.2">
      <c r="A532" s="144">
        <f t="shared" si="8"/>
        <v>45191</v>
      </c>
    </row>
    <row r="533" spans="1:1" x14ac:dyDescent="0.2">
      <c r="A533" s="144">
        <f t="shared" si="8"/>
        <v>45192</v>
      </c>
    </row>
    <row r="534" spans="1:1" x14ac:dyDescent="0.2">
      <c r="A534" s="144">
        <f t="shared" si="8"/>
        <v>45193</v>
      </c>
    </row>
    <row r="535" spans="1:1" x14ac:dyDescent="0.2">
      <c r="A535" s="144">
        <f t="shared" si="8"/>
        <v>45194</v>
      </c>
    </row>
    <row r="536" spans="1:1" x14ac:dyDescent="0.2">
      <c r="A536" s="144">
        <f t="shared" si="8"/>
        <v>45195</v>
      </c>
    </row>
    <row r="537" spans="1:1" x14ac:dyDescent="0.2">
      <c r="A537" s="144">
        <f t="shared" si="8"/>
        <v>45196</v>
      </c>
    </row>
    <row r="538" spans="1:1" x14ac:dyDescent="0.2">
      <c r="A538" s="144">
        <f t="shared" si="8"/>
        <v>45197</v>
      </c>
    </row>
    <row r="539" spans="1:1" x14ac:dyDescent="0.2">
      <c r="A539" s="144">
        <f t="shared" si="8"/>
        <v>45198</v>
      </c>
    </row>
    <row r="540" spans="1:1" x14ac:dyDescent="0.2">
      <c r="A540" s="144">
        <f t="shared" si="8"/>
        <v>45199</v>
      </c>
    </row>
    <row r="541" spans="1:1" x14ac:dyDescent="0.2">
      <c r="A541" s="144">
        <f t="shared" si="8"/>
        <v>45200</v>
      </c>
    </row>
    <row r="542" spans="1:1" x14ac:dyDescent="0.2">
      <c r="A542" s="144">
        <f t="shared" si="8"/>
        <v>45201</v>
      </c>
    </row>
    <row r="543" spans="1:1" x14ac:dyDescent="0.2">
      <c r="A543" s="144">
        <f t="shared" si="8"/>
        <v>45202</v>
      </c>
    </row>
    <row r="544" spans="1:1" x14ac:dyDescent="0.2">
      <c r="A544" s="144">
        <f t="shared" si="8"/>
        <v>45203</v>
      </c>
    </row>
    <row r="545" spans="1:1" x14ac:dyDescent="0.2">
      <c r="A545" s="144">
        <f t="shared" si="8"/>
        <v>45204</v>
      </c>
    </row>
    <row r="546" spans="1:1" x14ac:dyDescent="0.2">
      <c r="A546" s="144">
        <f t="shared" si="8"/>
        <v>45205</v>
      </c>
    </row>
    <row r="547" spans="1:1" x14ac:dyDescent="0.2">
      <c r="A547" s="144">
        <f t="shared" si="8"/>
        <v>45206</v>
      </c>
    </row>
    <row r="548" spans="1:1" x14ac:dyDescent="0.2">
      <c r="A548" s="144">
        <f t="shared" si="8"/>
        <v>45207</v>
      </c>
    </row>
    <row r="549" spans="1:1" x14ac:dyDescent="0.2">
      <c r="A549" s="144">
        <f t="shared" si="8"/>
        <v>45208</v>
      </c>
    </row>
    <row r="550" spans="1:1" x14ac:dyDescent="0.2">
      <c r="A550" s="144">
        <f t="shared" si="8"/>
        <v>45209</v>
      </c>
    </row>
    <row r="551" spans="1:1" x14ac:dyDescent="0.2">
      <c r="A551" s="144">
        <f t="shared" si="8"/>
        <v>45210</v>
      </c>
    </row>
    <row r="552" spans="1:1" x14ac:dyDescent="0.2">
      <c r="A552" s="144">
        <f t="shared" si="8"/>
        <v>45211</v>
      </c>
    </row>
    <row r="553" spans="1:1" x14ac:dyDescent="0.2">
      <c r="A553" s="144">
        <f t="shared" si="8"/>
        <v>45212</v>
      </c>
    </row>
    <row r="554" spans="1:1" x14ac:dyDescent="0.2">
      <c r="A554" s="144">
        <f t="shared" si="8"/>
        <v>45213</v>
      </c>
    </row>
    <row r="555" spans="1:1" x14ac:dyDescent="0.2">
      <c r="A555" s="144">
        <f t="shared" si="8"/>
        <v>45214</v>
      </c>
    </row>
    <row r="556" spans="1:1" x14ac:dyDescent="0.2">
      <c r="A556" s="144">
        <f t="shared" si="8"/>
        <v>45215</v>
      </c>
    </row>
    <row r="557" spans="1:1" x14ac:dyDescent="0.2">
      <c r="A557" s="144">
        <f t="shared" si="8"/>
        <v>45216</v>
      </c>
    </row>
    <row r="558" spans="1:1" x14ac:dyDescent="0.2">
      <c r="A558" s="144">
        <f t="shared" si="8"/>
        <v>45217</v>
      </c>
    </row>
    <row r="559" spans="1:1" x14ac:dyDescent="0.2">
      <c r="A559" s="144">
        <f t="shared" si="8"/>
        <v>45218</v>
      </c>
    </row>
    <row r="560" spans="1:1" x14ac:dyDescent="0.2">
      <c r="A560" s="144">
        <f t="shared" si="8"/>
        <v>45219</v>
      </c>
    </row>
    <row r="561" spans="1:1" x14ac:dyDescent="0.2">
      <c r="A561" s="144">
        <f t="shared" si="8"/>
        <v>45220</v>
      </c>
    </row>
    <row r="562" spans="1:1" x14ac:dyDescent="0.2">
      <c r="A562" s="144">
        <f t="shared" si="8"/>
        <v>45221</v>
      </c>
    </row>
    <row r="563" spans="1:1" x14ac:dyDescent="0.2">
      <c r="A563" s="144">
        <f t="shared" si="8"/>
        <v>45222</v>
      </c>
    </row>
    <row r="564" spans="1:1" x14ac:dyDescent="0.2">
      <c r="A564" s="144">
        <f t="shared" si="8"/>
        <v>45223</v>
      </c>
    </row>
    <row r="565" spans="1:1" x14ac:dyDescent="0.2">
      <c r="A565" s="144">
        <f t="shared" si="8"/>
        <v>45224</v>
      </c>
    </row>
    <row r="566" spans="1:1" x14ac:dyDescent="0.2">
      <c r="A566" s="144">
        <f t="shared" si="8"/>
        <v>45225</v>
      </c>
    </row>
    <row r="567" spans="1:1" x14ac:dyDescent="0.2">
      <c r="A567" s="144">
        <f t="shared" si="8"/>
        <v>45226</v>
      </c>
    </row>
    <row r="568" spans="1:1" x14ac:dyDescent="0.2">
      <c r="A568" s="144">
        <f t="shared" si="8"/>
        <v>45227</v>
      </c>
    </row>
    <row r="569" spans="1:1" x14ac:dyDescent="0.2">
      <c r="A569" s="144">
        <f t="shared" si="8"/>
        <v>45228</v>
      </c>
    </row>
    <row r="570" spans="1:1" x14ac:dyDescent="0.2">
      <c r="A570" s="144">
        <f t="shared" si="8"/>
        <v>45229</v>
      </c>
    </row>
    <row r="571" spans="1:1" x14ac:dyDescent="0.2">
      <c r="A571" s="144">
        <f t="shared" si="8"/>
        <v>45230</v>
      </c>
    </row>
    <row r="572" spans="1:1" x14ac:dyDescent="0.2">
      <c r="A572" s="144">
        <f t="shared" si="8"/>
        <v>45231</v>
      </c>
    </row>
    <row r="573" spans="1:1" x14ac:dyDescent="0.2">
      <c r="A573" s="144">
        <f t="shared" si="8"/>
        <v>45232</v>
      </c>
    </row>
    <row r="574" spans="1:1" x14ac:dyDescent="0.2">
      <c r="A574" s="144">
        <f t="shared" si="8"/>
        <v>45233</v>
      </c>
    </row>
    <row r="575" spans="1:1" x14ac:dyDescent="0.2">
      <c r="A575" s="144">
        <f t="shared" si="8"/>
        <v>45234</v>
      </c>
    </row>
    <row r="576" spans="1:1" x14ac:dyDescent="0.2">
      <c r="A576" s="144">
        <f t="shared" si="8"/>
        <v>45235</v>
      </c>
    </row>
    <row r="577" spans="1:1" x14ac:dyDescent="0.2">
      <c r="A577" s="144">
        <f t="shared" si="8"/>
        <v>45236</v>
      </c>
    </row>
    <row r="578" spans="1:1" x14ac:dyDescent="0.2">
      <c r="A578" s="144">
        <f t="shared" si="8"/>
        <v>45237</v>
      </c>
    </row>
    <row r="579" spans="1:1" x14ac:dyDescent="0.2">
      <c r="A579" s="144">
        <f t="shared" si="8"/>
        <v>45238</v>
      </c>
    </row>
    <row r="580" spans="1:1" x14ac:dyDescent="0.2">
      <c r="A580" s="144">
        <f t="shared" ref="A580:A643" si="9">A579+1</f>
        <v>45239</v>
      </c>
    </row>
    <row r="581" spans="1:1" x14ac:dyDescent="0.2">
      <c r="A581" s="144">
        <f t="shared" si="9"/>
        <v>45240</v>
      </c>
    </row>
    <row r="582" spans="1:1" x14ac:dyDescent="0.2">
      <c r="A582" s="144">
        <f t="shared" si="9"/>
        <v>45241</v>
      </c>
    </row>
    <row r="583" spans="1:1" x14ac:dyDescent="0.2">
      <c r="A583" s="144">
        <f t="shared" si="9"/>
        <v>45242</v>
      </c>
    </row>
    <row r="584" spans="1:1" x14ac:dyDescent="0.2">
      <c r="A584" s="144">
        <f t="shared" si="9"/>
        <v>45243</v>
      </c>
    </row>
    <row r="585" spans="1:1" x14ac:dyDescent="0.2">
      <c r="A585" s="144">
        <f t="shared" si="9"/>
        <v>45244</v>
      </c>
    </row>
    <row r="586" spans="1:1" x14ac:dyDescent="0.2">
      <c r="A586" s="144">
        <f t="shared" si="9"/>
        <v>45245</v>
      </c>
    </row>
    <row r="587" spans="1:1" x14ac:dyDescent="0.2">
      <c r="A587" s="144">
        <f t="shared" si="9"/>
        <v>45246</v>
      </c>
    </row>
    <row r="588" spans="1:1" x14ac:dyDescent="0.2">
      <c r="A588" s="144">
        <f t="shared" si="9"/>
        <v>45247</v>
      </c>
    </row>
    <row r="589" spans="1:1" x14ac:dyDescent="0.2">
      <c r="A589" s="144">
        <f t="shared" si="9"/>
        <v>45248</v>
      </c>
    </row>
    <row r="590" spans="1:1" x14ac:dyDescent="0.2">
      <c r="A590" s="144">
        <f t="shared" si="9"/>
        <v>45249</v>
      </c>
    </row>
    <row r="591" spans="1:1" x14ac:dyDescent="0.2">
      <c r="A591" s="144">
        <f t="shared" si="9"/>
        <v>45250</v>
      </c>
    </row>
    <row r="592" spans="1:1" x14ac:dyDescent="0.2">
      <c r="A592" s="144">
        <f t="shared" si="9"/>
        <v>45251</v>
      </c>
    </row>
    <row r="593" spans="1:1" x14ac:dyDescent="0.2">
      <c r="A593" s="144">
        <f t="shared" si="9"/>
        <v>45252</v>
      </c>
    </row>
    <row r="594" spans="1:1" x14ac:dyDescent="0.2">
      <c r="A594" s="144">
        <f t="shared" si="9"/>
        <v>45253</v>
      </c>
    </row>
    <row r="595" spans="1:1" x14ac:dyDescent="0.2">
      <c r="A595" s="144">
        <f t="shared" si="9"/>
        <v>45254</v>
      </c>
    </row>
    <row r="596" spans="1:1" x14ac:dyDescent="0.2">
      <c r="A596" s="144">
        <f t="shared" si="9"/>
        <v>45255</v>
      </c>
    </row>
    <row r="597" spans="1:1" x14ac:dyDescent="0.2">
      <c r="A597" s="144">
        <f t="shared" si="9"/>
        <v>45256</v>
      </c>
    </row>
    <row r="598" spans="1:1" x14ac:dyDescent="0.2">
      <c r="A598" s="144">
        <f t="shared" si="9"/>
        <v>45257</v>
      </c>
    </row>
    <row r="599" spans="1:1" x14ac:dyDescent="0.2">
      <c r="A599" s="144">
        <f t="shared" si="9"/>
        <v>45258</v>
      </c>
    </row>
    <row r="600" spans="1:1" x14ac:dyDescent="0.2">
      <c r="A600" s="144">
        <f t="shared" si="9"/>
        <v>45259</v>
      </c>
    </row>
    <row r="601" spans="1:1" x14ac:dyDescent="0.2">
      <c r="A601" s="144">
        <f t="shared" si="9"/>
        <v>45260</v>
      </c>
    </row>
    <row r="602" spans="1:1" x14ac:dyDescent="0.2">
      <c r="A602" s="144">
        <f t="shared" si="9"/>
        <v>45261</v>
      </c>
    </row>
    <row r="603" spans="1:1" x14ac:dyDescent="0.2">
      <c r="A603" s="144">
        <f t="shared" si="9"/>
        <v>45262</v>
      </c>
    </row>
    <row r="604" spans="1:1" x14ac:dyDescent="0.2">
      <c r="A604" s="144">
        <f t="shared" si="9"/>
        <v>45263</v>
      </c>
    </row>
    <row r="605" spans="1:1" x14ac:dyDescent="0.2">
      <c r="A605" s="144">
        <f t="shared" si="9"/>
        <v>45264</v>
      </c>
    </row>
    <row r="606" spans="1:1" x14ac:dyDescent="0.2">
      <c r="A606" s="144">
        <f t="shared" si="9"/>
        <v>45265</v>
      </c>
    </row>
    <row r="607" spans="1:1" x14ac:dyDescent="0.2">
      <c r="A607" s="144">
        <f t="shared" si="9"/>
        <v>45266</v>
      </c>
    </row>
    <row r="608" spans="1:1" x14ac:dyDescent="0.2">
      <c r="A608" s="144">
        <f t="shared" si="9"/>
        <v>45267</v>
      </c>
    </row>
    <row r="609" spans="1:1" x14ac:dyDescent="0.2">
      <c r="A609" s="144">
        <f t="shared" si="9"/>
        <v>45268</v>
      </c>
    </row>
    <row r="610" spans="1:1" x14ac:dyDescent="0.2">
      <c r="A610" s="144">
        <f t="shared" si="9"/>
        <v>45269</v>
      </c>
    </row>
    <row r="611" spans="1:1" x14ac:dyDescent="0.2">
      <c r="A611" s="144">
        <f t="shared" si="9"/>
        <v>45270</v>
      </c>
    </row>
    <row r="612" spans="1:1" x14ac:dyDescent="0.2">
      <c r="A612" s="144">
        <f t="shared" si="9"/>
        <v>45271</v>
      </c>
    </row>
    <row r="613" spans="1:1" x14ac:dyDescent="0.2">
      <c r="A613" s="144">
        <f t="shared" si="9"/>
        <v>45272</v>
      </c>
    </row>
    <row r="614" spans="1:1" x14ac:dyDescent="0.2">
      <c r="A614" s="144">
        <f t="shared" si="9"/>
        <v>45273</v>
      </c>
    </row>
    <row r="615" spans="1:1" x14ac:dyDescent="0.2">
      <c r="A615" s="144">
        <f t="shared" si="9"/>
        <v>45274</v>
      </c>
    </row>
    <row r="616" spans="1:1" x14ac:dyDescent="0.2">
      <c r="A616" s="144">
        <f t="shared" si="9"/>
        <v>45275</v>
      </c>
    </row>
    <row r="617" spans="1:1" x14ac:dyDescent="0.2">
      <c r="A617" s="144">
        <f t="shared" si="9"/>
        <v>45276</v>
      </c>
    </row>
    <row r="618" spans="1:1" x14ac:dyDescent="0.2">
      <c r="A618" s="144">
        <f t="shared" si="9"/>
        <v>45277</v>
      </c>
    </row>
    <row r="619" spans="1:1" x14ac:dyDescent="0.2">
      <c r="A619" s="144">
        <f t="shared" si="9"/>
        <v>45278</v>
      </c>
    </row>
    <row r="620" spans="1:1" x14ac:dyDescent="0.2">
      <c r="A620" s="144">
        <f t="shared" si="9"/>
        <v>45279</v>
      </c>
    </row>
    <row r="621" spans="1:1" x14ac:dyDescent="0.2">
      <c r="A621" s="144">
        <f t="shared" si="9"/>
        <v>45280</v>
      </c>
    </row>
    <row r="622" spans="1:1" x14ac:dyDescent="0.2">
      <c r="A622" s="144">
        <f t="shared" si="9"/>
        <v>45281</v>
      </c>
    </row>
    <row r="623" spans="1:1" x14ac:dyDescent="0.2">
      <c r="A623" s="144">
        <f t="shared" si="9"/>
        <v>45282</v>
      </c>
    </row>
    <row r="624" spans="1:1" x14ac:dyDescent="0.2">
      <c r="A624" s="144">
        <f t="shared" si="9"/>
        <v>45283</v>
      </c>
    </row>
    <row r="625" spans="1:1" x14ac:dyDescent="0.2">
      <c r="A625" s="144">
        <f t="shared" si="9"/>
        <v>45284</v>
      </c>
    </row>
    <row r="626" spans="1:1" x14ac:dyDescent="0.2">
      <c r="A626" s="144">
        <f t="shared" si="9"/>
        <v>45285</v>
      </c>
    </row>
    <row r="627" spans="1:1" x14ac:dyDescent="0.2">
      <c r="A627" s="144">
        <f t="shared" si="9"/>
        <v>45286</v>
      </c>
    </row>
    <row r="628" spans="1:1" x14ac:dyDescent="0.2">
      <c r="A628" s="144">
        <f t="shared" si="9"/>
        <v>45287</v>
      </c>
    </row>
    <row r="629" spans="1:1" x14ac:dyDescent="0.2">
      <c r="A629" s="144">
        <f t="shared" si="9"/>
        <v>45288</v>
      </c>
    </row>
    <row r="630" spans="1:1" x14ac:dyDescent="0.2">
      <c r="A630" s="144">
        <f t="shared" si="9"/>
        <v>45289</v>
      </c>
    </row>
    <row r="631" spans="1:1" x14ac:dyDescent="0.2">
      <c r="A631" s="144">
        <f t="shared" si="9"/>
        <v>45290</v>
      </c>
    </row>
    <row r="632" spans="1:1" x14ac:dyDescent="0.2">
      <c r="A632" s="144">
        <f t="shared" si="9"/>
        <v>45291</v>
      </c>
    </row>
    <row r="633" spans="1:1" x14ac:dyDescent="0.2">
      <c r="A633" s="144">
        <f t="shared" si="9"/>
        <v>45292</v>
      </c>
    </row>
    <row r="634" spans="1:1" x14ac:dyDescent="0.2">
      <c r="A634" s="144">
        <f t="shared" si="9"/>
        <v>45293</v>
      </c>
    </row>
    <row r="635" spans="1:1" x14ac:dyDescent="0.2">
      <c r="A635" s="144">
        <f t="shared" si="9"/>
        <v>45294</v>
      </c>
    </row>
    <row r="636" spans="1:1" x14ac:dyDescent="0.2">
      <c r="A636" s="144">
        <f t="shared" si="9"/>
        <v>45295</v>
      </c>
    </row>
    <row r="637" spans="1:1" x14ac:dyDescent="0.2">
      <c r="A637" s="144">
        <f t="shared" si="9"/>
        <v>45296</v>
      </c>
    </row>
    <row r="638" spans="1:1" x14ac:dyDescent="0.2">
      <c r="A638" s="144">
        <f t="shared" si="9"/>
        <v>45297</v>
      </c>
    </row>
    <row r="639" spans="1:1" x14ac:dyDescent="0.2">
      <c r="A639" s="144">
        <f t="shared" si="9"/>
        <v>45298</v>
      </c>
    </row>
    <row r="640" spans="1:1" x14ac:dyDescent="0.2">
      <c r="A640" s="144">
        <f t="shared" si="9"/>
        <v>45299</v>
      </c>
    </row>
    <row r="641" spans="1:1" x14ac:dyDescent="0.2">
      <c r="A641" s="144">
        <f t="shared" si="9"/>
        <v>45300</v>
      </c>
    </row>
    <row r="642" spans="1:1" x14ac:dyDescent="0.2">
      <c r="A642" s="144">
        <f t="shared" si="9"/>
        <v>45301</v>
      </c>
    </row>
    <row r="643" spans="1:1" x14ac:dyDescent="0.2">
      <c r="A643" s="144">
        <f t="shared" si="9"/>
        <v>45302</v>
      </c>
    </row>
    <row r="644" spans="1:1" x14ac:dyDescent="0.2">
      <c r="A644" s="144">
        <f t="shared" ref="A644:A707" si="10">A643+1</f>
        <v>45303</v>
      </c>
    </row>
    <row r="645" spans="1:1" x14ac:dyDescent="0.2">
      <c r="A645" s="144">
        <f t="shared" si="10"/>
        <v>45304</v>
      </c>
    </row>
    <row r="646" spans="1:1" x14ac:dyDescent="0.2">
      <c r="A646" s="144">
        <f t="shared" si="10"/>
        <v>45305</v>
      </c>
    </row>
    <row r="647" spans="1:1" x14ac:dyDescent="0.2">
      <c r="A647" s="144">
        <f t="shared" si="10"/>
        <v>45306</v>
      </c>
    </row>
    <row r="648" spans="1:1" x14ac:dyDescent="0.2">
      <c r="A648" s="144">
        <f t="shared" si="10"/>
        <v>45307</v>
      </c>
    </row>
    <row r="649" spans="1:1" x14ac:dyDescent="0.2">
      <c r="A649" s="144">
        <f t="shared" si="10"/>
        <v>45308</v>
      </c>
    </row>
    <row r="650" spans="1:1" x14ac:dyDescent="0.2">
      <c r="A650" s="144">
        <f t="shared" si="10"/>
        <v>45309</v>
      </c>
    </row>
    <row r="651" spans="1:1" x14ac:dyDescent="0.2">
      <c r="A651" s="144">
        <f t="shared" si="10"/>
        <v>45310</v>
      </c>
    </row>
    <row r="652" spans="1:1" x14ac:dyDescent="0.2">
      <c r="A652" s="144">
        <f t="shared" si="10"/>
        <v>45311</v>
      </c>
    </row>
    <row r="653" spans="1:1" x14ac:dyDescent="0.2">
      <c r="A653" s="144">
        <f t="shared" si="10"/>
        <v>45312</v>
      </c>
    </row>
    <row r="654" spans="1:1" x14ac:dyDescent="0.2">
      <c r="A654" s="144">
        <f t="shared" si="10"/>
        <v>45313</v>
      </c>
    </row>
    <row r="655" spans="1:1" x14ac:dyDescent="0.2">
      <c r="A655" s="144">
        <f t="shared" si="10"/>
        <v>45314</v>
      </c>
    </row>
    <row r="656" spans="1:1" x14ac:dyDescent="0.2">
      <c r="A656" s="144">
        <f t="shared" si="10"/>
        <v>45315</v>
      </c>
    </row>
    <row r="657" spans="1:1" x14ac:dyDescent="0.2">
      <c r="A657" s="144">
        <f t="shared" si="10"/>
        <v>45316</v>
      </c>
    </row>
    <row r="658" spans="1:1" x14ac:dyDescent="0.2">
      <c r="A658" s="144">
        <f t="shared" si="10"/>
        <v>45317</v>
      </c>
    </row>
    <row r="659" spans="1:1" x14ac:dyDescent="0.2">
      <c r="A659" s="144">
        <f t="shared" si="10"/>
        <v>45318</v>
      </c>
    </row>
    <row r="660" spans="1:1" x14ac:dyDescent="0.2">
      <c r="A660" s="144">
        <f t="shared" si="10"/>
        <v>45319</v>
      </c>
    </row>
    <row r="661" spans="1:1" x14ac:dyDescent="0.2">
      <c r="A661" s="144">
        <f t="shared" si="10"/>
        <v>45320</v>
      </c>
    </row>
    <row r="662" spans="1:1" x14ac:dyDescent="0.2">
      <c r="A662" s="144">
        <f t="shared" si="10"/>
        <v>45321</v>
      </c>
    </row>
    <row r="663" spans="1:1" x14ac:dyDescent="0.2">
      <c r="A663" s="144">
        <f t="shared" si="10"/>
        <v>45322</v>
      </c>
    </row>
    <row r="664" spans="1:1" x14ac:dyDescent="0.2">
      <c r="A664" s="144">
        <f t="shared" si="10"/>
        <v>45323</v>
      </c>
    </row>
    <row r="665" spans="1:1" x14ac:dyDescent="0.2">
      <c r="A665" s="144">
        <f t="shared" si="10"/>
        <v>45324</v>
      </c>
    </row>
    <row r="666" spans="1:1" x14ac:dyDescent="0.2">
      <c r="A666" s="144">
        <f t="shared" si="10"/>
        <v>45325</v>
      </c>
    </row>
    <row r="667" spans="1:1" x14ac:dyDescent="0.2">
      <c r="A667" s="144">
        <f t="shared" si="10"/>
        <v>45326</v>
      </c>
    </row>
    <row r="668" spans="1:1" x14ac:dyDescent="0.2">
      <c r="A668" s="144">
        <f t="shared" si="10"/>
        <v>45327</v>
      </c>
    </row>
    <row r="669" spans="1:1" x14ac:dyDescent="0.2">
      <c r="A669" s="144">
        <f t="shared" si="10"/>
        <v>45328</v>
      </c>
    </row>
    <row r="670" spans="1:1" x14ac:dyDescent="0.2">
      <c r="A670" s="144">
        <f t="shared" si="10"/>
        <v>45329</v>
      </c>
    </row>
    <row r="671" spans="1:1" x14ac:dyDescent="0.2">
      <c r="A671" s="144">
        <f t="shared" si="10"/>
        <v>45330</v>
      </c>
    </row>
    <row r="672" spans="1:1" x14ac:dyDescent="0.2">
      <c r="A672" s="144">
        <f t="shared" si="10"/>
        <v>45331</v>
      </c>
    </row>
    <row r="673" spans="1:1" x14ac:dyDescent="0.2">
      <c r="A673" s="144">
        <f t="shared" si="10"/>
        <v>45332</v>
      </c>
    </row>
    <row r="674" spans="1:1" x14ac:dyDescent="0.2">
      <c r="A674" s="144">
        <f t="shared" si="10"/>
        <v>45333</v>
      </c>
    </row>
    <row r="675" spans="1:1" x14ac:dyDescent="0.2">
      <c r="A675" s="144">
        <f t="shared" si="10"/>
        <v>45334</v>
      </c>
    </row>
    <row r="676" spans="1:1" x14ac:dyDescent="0.2">
      <c r="A676" s="144">
        <f t="shared" si="10"/>
        <v>45335</v>
      </c>
    </row>
    <row r="677" spans="1:1" x14ac:dyDescent="0.2">
      <c r="A677" s="144">
        <f t="shared" si="10"/>
        <v>45336</v>
      </c>
    </row>
    <row r="678" spans="1:1" x14ac:dyDescent="0.2">
      <c r="A678" s="144">
        <f t="shared" si="10"/>
        <v>45337</v>
      </c>
    </row>
    <row r="679" spans="1:1" x14ac:dyDescent="0.2">
      <c r="A679" s="144">
        <f t="shared" si="10"/>
        <v>45338</v>
      </c>
    </row>
    <row r="680" spans="1:1" x14ac:dyDescent="0.2">
      <c r="A680" s="144">
        <f t="shared" si="10"/>
        <v>45339</v>
      </c>
    </row>
    <row r="681" spans="1:1" x14ac:dyDescent="0.2">
      <c r="A681" s="144">
        <f t="shared" si="10"/>
        <v>45340</v>
      </c>
    </row>
    <row r="682" spans="1:1" x14ac:dyDescent="0.2">
      <c r="A682" s="144">
        <f t="shared" si="10"/>
        <v>45341</v>
      </c>
    </row>
    <row r="683" spans="1:1" x14ac:dyDescent="0.2">
      <c r="A683" s="144">
        <f t="shared" si="10"/>
        <v>45342</v>
      </c>
    </row>
    <row r="684" spans="1:1" x14ac:dyDescent="0.2">
      <c r="A684" s="144">
        <f t="shared" si="10"/>
        <v>45343</v>
      </c>
    </row>
    <row r="685" spans="1:1" x14ac:dyDescent="0.2">
      <c r="A685" s="144">
        <f t="shared" si="10"/>
        <v>45344</v>
      </c>
    </row>
    <row r="686" spans="1:1" x14ac:dyDescent="0.2">
      <c r="A686" s="144">
        <f t="shared" si="10"/>
        <v>45345</v>
      </c>
    </row>
    <row r="687" spans="1:1" x14ac:dyDescent="0.2">
      <c r="A687" s="144">
        <f t="shared" si="10"/>
        <v>45346</v>
      </c>
    </row>
    <row r="688" spans="1:1" x14ac:dyDescent="0.2">
      <c r="A688" s="144">
        <f t="shared" si="10"/>
        <v>45347</v>
      </c>
    </row>
    <row r="689" spans="1:1" x14ac:dyDescent="0.2">
      <c r="A689" s="144">
        <f t="shared" si="10"/>
        <v>45348</v>
      </c>
    </row>
    <row r="690" spans="1:1" x14ac:dyDescent="0.2">
      <c r="A690" s="144">
        <f t="shared" si="10"/>
        <v>45349</v>
      </c>
    </row>
    <row r="691" spans="1:1" x14ac:dyDescent="0.2">
      <c r="A691" s="144">
        <f t="shared" si="10"/>
        <v>45350</v>
      </c>
    </row>
    <row r="692" spans="1:1" x14ac:dyDescent="0.2">
      <c r="A692" s="144">
        <f t="shared" si="10"/>
        <v>45351</v>
      </c>
    </row>
    <row r="693" spans="1:1" x14ac:dyDescent="0.2">
      <c r="A693" s="144">
        <f t="shared" si="10"/>
        <v>45352</v>
      </c>
    </row>
    <row r="694" spans="1:1" x14ac:dyDescent="0.2">
      <c r="A694" s="144">
        <f t="shared" si="10"/>
        <v>45353</v>
      </c>
    </row>
    <row r="695" spans="1:1" x14ac:dyDescent="0.2">
      <c r="A695" s="144">
        <f t="shared" si="10"/>
        <v>45354</v>
      </c>
    </row>
    <row r="696" spans="1:1" x14ac:dyDescent="0.2">
      <c r="A696" s="144">
        <f t="shared" si="10"/>
        <v>45355</v>
      </c>
    </row>
    <row r="697" spans="1:1" x14ac:dyDescent="0.2">
      <c r="A697" s="144">
        <f t="shared" si="10"/>
        <v>45356</v>
      </c>
    </row>
    <row r="698" spans="1:1" x14ac:dyDescent="0.2">
      <c r="A698" s="144">
        <f t="shared" si="10"/>
        <v>45357</v>
      </c>
    </row>
    <row r="699" spans="1:1" x14ac:dyDescent="0.2">
      <c r="A699" s="144">
        <f t="shared" si="10"/>
        <v>45358</v>
      </c>
    </row>
    <row r="700" spans="1:1" x14ac:dyDescent="0.2">
      <c r="A700" s="144">
        <f t="shared" si="10"/>
        <v>45359</v>
      </c>
    </row>
    <row r="701" spans="1:1" x14ac:dyDescent="0.2">
      <c r="A701" s="144">
        <f t="shared" si="10"/>
        <v>45360</v>
      </c>
    </row>
    <row r="702" spans="1:1" x14ac:dyDescent="0.2">
      <c r="A702" s="144">
        <f t="shared" si="10"/>
        <v>45361</v>
      </c>
    </row>
    <row r="703" spans="1:1" x14ac:dyDescent="0.2">
      <c r="A703" s="144">
        <f t="shared" si="10"/>
        <v>45362</v>
      </c>
    </row>
    <row r="704" spans="1:1" x14ac:dyDescent="0.2">
      <c r="A704" s="144">
        <f t="shared" si="10"/>
        <v>45363</v>
      </c>
    </row>
    <row r="705" spans="1:1" x14ac:dyDescent="0.2">
      <c r="A705" s="144">
        <f t="shared" si="10"/>
        <v>45364</v>
      </c>
    </row>
    <row r="706" spans="1:1" x14ac:dyDescent="0.2">
      <c r="A706" s="144">
        <f t="shared" si="10"/>
        <v>45365</v>
      </c>
    </row>
    <row r="707" spans="1:1" x14ac:dyDescent="0.2">
      <c r="A707" s="144">
        <f t="shared" si="10"/>
        <v>45366</v>
      </c>
    </row>
    <row r="708" spans="1:1" x14ac:dyDescent="0.2">
      <c r="A708" s="144">
        <f t="shared" ref="A708:A771" si="11">A707+1</f>
        <v>45367</v>
      </c>
    </row>
    <row r="709" spans="1:1" x14ac:dyDescent="0.2">
      <c r="A709" s="144">
        <f t="shared" si="11"/>
        <v>45368</v>
      </c>
    </row>
    <row r="710" spans="1:1" x14ac:dyDescent="0.2">
      <c r="A710" s="144">
        <f t="shared" si="11"/>
        <v>45369</v>
      </c>
    </row>
    <row r="711" spans="1:1" x14ac:dyDescent="0.2">
      <c r="A711" s="144">
        <f t="shared" si="11"/>
        <v>45370</v>
      </c>
    </row>
    <row r="712" spans="1:1" x14ac:dyDescent="0.2">
      <c r="A712" s="144">
        <f t="shared" si="11"/>
        <v>45371</v>
      </c>
    </row>
    <row r="713" spans="1:1" x14ac:dyDescent="0.2">
      <c r="A713" s="144">
        <f t="shared" si="11"/>
        <v>45372</v>
      </c>
    </row>
    <row r="714" spans="1:1" x14ac:dyDescent="0.2">
      <c r="A714" s="144">
        <f t="shared" si="11"/>
        <v>45373</v>
      </c>
    </row>
    <row r="715" spans="1:1" x14ac:dyDescent="0.2">
      <c r="A715" s="144">
        <f t="shared" si="11"/>
        <v>45374</v>
      </c>
    </row>
    <row r="716" spans="1:1" x14ac:dyDescent="0.2">
      <c r="A716" s="144">
        <f t="shared" si="11"/>
        <v>45375</v>
      </c>
    </row>
    <row r="717" spans="1:1" x14ac:dyDescent="0.2">
      <c r="A717" s="144">
        <f t="shared" si="11"/>
        <v>45376</v>
      </c>
    </row>
    <row r="718" spans="1:1" x14ac:dyDescent="0.2">
      <c r="A718" s="144">
        <f t="shared" si="11"/>
        <v>45377</v>
      </c>
    </row>
    <row r="719" spans="1:1" x14ac:dyDescent="0.2">
      <c r="A719" s="144">
        <f t="shared" si="11"/>
        <v>45378</v>
      </c>
    </row>
    <row r="720" spans="1:1" x14ac:dyDescent="0.2">
      <c r="A720" s="144">
        <f t="shared" si="11"/>
        <v>45379</v>
      </c>
    </row>
    <row r="721" spans="1:1" x14ac:dyDescent="0.2">
      <c r="A721" s="144">
        <f t="shared" si="11"/>
        <v>45380</v>
      </c>
    </row>
    <row r="722" spans="1:1" x14ac:dyDescent="0.2">
      <c r="A722" s="144">
        <f t="shared" si="11"/>
        <v>45381</v>
      </c>
    </row>
    <row r="723" spans="1:1" x14ac:dyDescent="0.2">
      <c r="A723" s="144">
        <f t="shared" si="11"/>
        <v>45382</v>
      </c>
    </row>
    <row r="724" spans="1:1" x14ac:dyDescent="0.2">
      <c r="A724" s="144">
        <f t="shared" si="11"/>
        <v>45383</v>
      </c>
    </row>
    <row r="725" spans="1:1" x14ac:dyDescent="0.2">
      <c r="A725" s="144">
        <f t="shared" si="11"/>
        <v>45384</v>
      </c>
    </row>
    <row r="726" spans="1:1" x14ac:dyDescent="0.2">
      <c r="A726" s="144">
        <f t="shared" si="11"/>
        <v>45385</v>
      </c>
    </row>
    <row r="727" spans="1:1" x14ac:dyDescent="0.2">
      <c r="A727" s="144">
        <f t="shared" si="11"/>
        <v>45386</v>
      </c>
    </row>
    <row r="728" spans="1:1" x14ac:dyDescent="0.2">
      <c r="A728" s="144">
        <f t="shared" si="11"/>
        <v>45387</v>
      </c>
    </row>
    <row r="729" spans="1:1" x14ac:dyDescent="0.2">
      <c r="A729" s="144">
        <f t="shared" si="11"/>
        <v>45388</v>
      </c>
    </row>
    <row r="730" spans="1:1" x14ac:dyDescent="0.2">
      <c r="A730" s="144">
        <f t="shared" si="11"/>
        <v>45389</v>
      </c>
    </row>
    <row r="731" spans="1:1" x14ac:dyDescent="0.2">
      <c r="A731" s="144">
        <f t="shared" si="11"/>
        <v>45390</v>
      </c>
    </row>
    <row r="732" spans="1:1" x14ac:dyDescent="0.2">
      <c r="A732" s="144">
        <f t="shared" si="11"/>
        <v>45391</v>
      </c>
    </row>
    <row r="733" spans="1:1" x14ac:dyDescent="0.2">
      <c r="A733" s="144">
        <f t="shared" si="11"/>
        <v>45392</v>
      </c>
    </row>
    <row r="734" spans="1:1" x14ac:dyDescent="0.2">
      <c r="A734" s="144">
        <f t="shared" si="11"/>
        <v>45393</v>
      </c>
    </row>
    <row r="735" spans="1:1" x14ac:dyDescent="0.2">
      <c r="A735" s="144">
        <f t="shared" si="11"/>
        <v>45394</v>
      </c>
    </row>
    <row r="736" spans="1:1" x14ac:dyDescent="0.2">
      <c r="A736" s="144">
        <f t="shared" si="11"/>
        <v>45395</v>
      </c>
    </row>
    <row r="737" spans="1:1" x14ac:dyDescent="0.2">
      <c r="A737" s="144">
        <f t="shared" si="11"/>
        <v>45396</v>
      </c>
    </row>
    <row r="738" spans="1:1" x14ac:dyDescent="0.2">
      <c r="A738" s="144">
        <f t="shared" si="11"/>
        <v>45397</v>
      </c>
    </row>
    <row r="739" spans="1:1" x14ac:dyDescent="0.2">
      <c r="A739" s="144">
        <f t="shared" si="11"/>
        <v>45398</v>
      </c>
    </row>
    <row r="740" spans="1:1" x14ac:dyDescent="0.2">
      <c r="A740" s="144">
        <f t="shared" si="11"/>
        <v>45399</v>
      </c>
    </row>
    <row r="741" spans="1:1" x14ac:dyDescent="0.2">
      <c r="A741" s="144">
        <f t="shared" si="11"/>
        <v>45400</v>
      </c>
    </row>
    <row r="742" spans="1:1" x14ac:dyDescent="0.2">
      <c r="A742" s="144">
        <f t="shared" si="11"/>
        <v>45401</v>
      </c>
    </row>
    <row r="743" spans="1:1" x14ac:dyDescent="0.2">
      <c r="A743" s="144">
        <f t="shared" si="11"/>
        <v>45402</v>
      </c>
    </row>
    <row r="744" spans="1:1" x14ac:dyDescent="0.2">
      <c r="A744" s="144">
        <f t="shared" si="11"/>
        <v>45403</v>
      </c>
    </row>
    <row r="745" spans="1:1" x14ac:dyDescent="0.2">
      <c r="A745" s="144">
        <f t="shared" si="11"/>
        <v>45404</v>
      </c>
    </row>
    <row r="746" spans="1:1" x14ac:dyDescent="0.2">
      <c r="A746" s="144">
        <f t="shared" si="11"/>
        <v>45405</v>
      </c>
    </row>
    <row r="747" spans="1:1" x14ac:dyDescent="0.2">
      <c r="A747" s="144">
        <f t="shared" si="11"/>
        <v>45406</v>
      </c>
    </row>
    <row r="748" spans="1:1" x14ac:dyDescent="0.2">
      <c r="A748" s="144">
        <f t="shared" si="11"/>
        <v>45407</v>
      </c>
    </row>
    <row r="749" spans="1:1" x14ac:dyDescent="0.2">
      <c r="A749" s="144">
        <f t="shared" si="11"/>
        <v>45408</v>
      </c>
    </row>
    <row r="750" spans="1:1" x14ac:dyDescent="0.2">
      <c r="A750" s="144">
        <f t="shared" si="11"/>
        <v>45409</v>
      </c>
    </row>
    <row r="751" spans="1:1" x14ac:dyDescent="0.2">
      <c r="A751" s="144">
        <f t="shared" si="11"/>
        <v>45410</v>
      </c>
    </row>
    <row r="752" spans="1:1" x14ac:dyDescent="0.2">
      <c r="A752" s="144">
        <f t="shared" si="11"/>
        <v>45411</v>
      </c>
    </row>
    <row r="753" spans="1:1" x14ac:dyDescent="0.2">
      <c r="A753" s="144">
        <f t="shared" si="11"/>
        <v>45412</v>
      </c>
    </row>
    <row r="754" spans="1:1" x14ac:dyDescent="0.2">
      <c r="A754" s="144">
        <f t="shared" si="11"/>
        <v>45413</v>
      </c>
    </row>
    <row r="755" spans="1:1" x14ac:dyDescent="0.2">
      <c r="A755" s="144">
        <f t="shared" si="11"/>
        <v>45414</v>
      </c>
    </row>
    <row r="756" spans="1:1" x14ac:dyDescent="0.2">
      <c r="A756" s="144">
        <f t="shared" si="11"/>
        <v>45415</v>
      </c>
    </row>
    <row r="757" spans="1:1" x14ac:dyDescent="0.2">
      <c r="A757" s="144">
        <f t="shared" si="11"/>
        <v>45416</v>
      </c>
    </row>
    <row r="758" spans="1:1" x14ac:dyDescent="0.2">
      <c r="A758" s="144">
        <f t="shared" si="11"/>
        <v>45417</v>
      </c>
    </row>
    <row r="759" spans="1:1" x14ac:dyDescent="0.2">
      <c r="A759" s="144">
        <f t="shared" si="11"/>
        <v>45418</v>
      </c>
    </row>
    <row r="760" spans="1:1" x14ac:dyDescent="0.2">
      <c r="A760" s="144">
        <f t="shared" si="11"/>
        <v>45419</v>
      </c>
    </row>
    <row r="761" spans="1:1" x14ac:dyDescent="0.2">
      <c r="A761" s="144">
        <f t="shared" si="11"/>
        <v>45420</v>
      </c>
    </row>
    <row r="762" spans="1:1" x14ac:dyDescent="0.2">
      <c r="A762" s="144">
        <f t="shared" si="11"/>
        <v>45421</v>
      </c>
    </row>
    <row r="763" spans="1:1" x14ac:dyDescent="0.2">
      <c r="A763" s="144">
        <f t="shared" si="11"/>
        <v>45422</v>
      </c>
    </row>
    <row r="764" spans="1:1" x14ac:dyDescent="0.2">
      <c r="A764" s="144">
        <f t="shared" si="11"/>
        <v>45423</v>
      </c>
    </row>
    <row r="765" spans="1:1" x14ac:dyDescent="0.2">
      <c r="A765" s="144">
        <f t="shared" si="11"/>
        <v>45424</v>
      </c>
    </row>
    <row r="766" spans="1:1" x14ac:dyDescent="0.2">
      <c r="A766" s="144">
        <f t="shared" si="11"/>
        <v>45425</v>
      </c>
    </row>
    <row r="767" spans="1:1" x14ac:dyDescent="0.2">
      <c r="A767" s="144">
        <f t="shared" si="11"/>
        <v>45426</v>
      </c>
    </row>
    <row r="768" spans="1:1" x14ac:dyDescent="0.2">
      <c r="A768" s="144">
        <f t="shared" si="11"/>
        <v>45427</v>
      </c>
    </row>
    <row r="769" spans="1:1" x14ac:dyDescent="0.2">
      <c r="A769" s="144">
        <f t="shared" si="11"/>
        <v>45428</v>
      </c>
    </row>
    <row r="770" spans="1:1" x14ac:dyDescent="0.2">
      <c r="A770" s="144">
        <f t="shared" si="11"/>
        <v>45429</v>
      </c>
    </row>
    <row r="771" spans="1:1" x14ac:dyDescent="0.2">
      <c r="A771" s="144">
        <f t="shared" si="11"/>
        <v>45430</v>
      </c>
    </row>
    <row r="772" spans="1:1" x14ac:dyDescent="0.2">
      <c r="A772" s="144">
        <f t="shared" ref="A772:A835" si="12">A771+1</f>
        <v>45431</v>
      </c>
    </row>
    <row r="773" spans="1:1" x14ac:dyDescent="0.2">
      <c r="A773" s="144">
        <f t="shared" si="12"/>
        <v>45432</v>
      </c>
    </row>
    <row r="774" spans="1:1" x14ac:dyDescent="0.2">
      <c r="A774" s="144">
        <f t="shared" si="12"/>
        <v>45433</v>
      </c>
    </row>
    <row r="775" spans="1:1" x14ac:dyDescent="0.2">
      <c r="A775" s="144">
        <f t="shared" si="12"/>
        <v>45434</v>
      </c>
    </row>
    <row r="776" spans="1:1" x14ac:dyDescent="0.2">
      <c r="A776" s="144">
        <f t="shared" si="12"/>
        <v>45435</v>
      </c>
    </row>
    <row r="777" spans="1:1" x14ac:dyDescent="0.2">
      <c r="A777" s="144">
        <f t="shared" si="12"/>
        <v>45436</v>
      </c>
    </row>
    <row r="778" spans="1:1" x14ac:dyDescent="0.2">
      <c r="A778" s="144">
        <f t="shared" si="12"/>
        <v>45437</v>
      </c>
    </row>
    <row r="779" spans="1:1" x14ac:dyDescent="0.2">
      <c r="A779" s="144">
        <f t="shared" si="12"/>
        <v>45438</v>
      </c>
    </row>
    <row r="780" spans="1:1" x14ac:dyDescent="0.2">
      <c r="A780" s="144">
        <f t="shared" si="12"/>
        <v>45439</v>
      </c>
    </row>
    <row r="781" spans="1:1" x14ac:dyDescent="0.2">
      <c r="A781" s="144">
        <f t="shared" si="12"/>
        <v>45440</v>
      </c>
    </row>
    <row r="782" spans="1:1" x14ac:dyDescent="0.2">
      <c r="A782" s="144">
        <f t="shared" si="12"/>
        <v>45441</v>
      </c>
    </row>
    <row r="783" spans="1:1" x14ac:dyDescent="0.2">
      <c r="A783" s="144">
        <f t="shared" si="12"/>
        <v>45442</v>
      </c>
    </row>
    <row r="784" spans="1:1" x14ac:dyDescent="0.2">
      <c r="A784" s="144">
        <f t="shared" si="12"/>
        <v>45443</v>
      </c>
    </row>
    <row r="785" spans="1:1" x14ac:dyDescent="0.2">
      <c r="A785" s="144">
        <f t="shared" si="12"/>
        <v>45444</v>
      </c>
    </row>
    <row r="786" spans="1:1" x14ac:dyDescent="0.2">
      <c r="A786" s="144">
        <f t="shared" si="12"/>
        <v>45445</v>
      </c>
    </row>
    <row r="787" spans="1:1" x14ac:dyDescent="0.2">
      <c r="A787" s="144">
        <f t="shared" si="12"/>
        <v>45446</v>
      </c>
    </row>
    <row r="788" spans="1:1" x14ac:dyDescent="0.2">
      <c r="A788" s="144">
        <f t="shared" si="12"/>
        <v>45447</v>
      </c>
    </row>
    <row r="789" spans="1:1" x14ac:dyDescent="0.2">
      <c r="A789" s="144">
        <f t="shared" si="12"/>
        <v>45448</v>
      </c>
    </row>
    <row r="790" spans="1:1" x14ac:dyDescent="0.2">
      <c r="A790" s="144">
        <f t="shared" si="12"/>
        <v>45449</v>
      </c>
    </row>
    <row r="791" spans="1:1" x14ac:dyDescent="0.2">
      <c r="A791" s="144">
        <f t="shared" si="12"/>
        <v>45450</v>
      </c>
    </row>
    <row r="792" spans="1:1" x14ac:dyDescent="0.2">
      <c r="A792" s="144">
        <f t="shared" si="12"/>
        <v>45451</v>
      </c>
    </row>
    <row r="793" spans="1:1" x14ac:dyDescent="0.2">
      <c r="A793" s="144">
        <f t="shared" si="12"/>
        <v>45452</v>
      </c>
    </row>
    <row r="794" spans="1:1" x14ac:dyDescent="0.2">
      <c r="A794" s="144">
        <f t="shared" si="12"/>
        <v>45453</v>
      </c>
    </row>
    <row r="795" spans="1:1" x14ac:dyDescent="0.2">
      <c r="A795" s="144">
        <f t="shared" si="12"/>
        <v>45454</v>
      </c>
    </row>
    <row r="796" spans="1:1" x14ac:dyDescent="0.2">
      <c r="A796" s="144">
        <f t="shared" si="12"/>
        <v>45455</v>
      </c>
    </row>
    <row r="797" spans="1:1" x14ac:dyDescent="0.2">
      <c r="A797" s="144">
        <f t="shared" si="12"/>
        <v>45456</v>
      </c>
    </row>
    <row r="798" spans="1:1" x14ac:dyDescent="0.2">
      <c r="A798" s="144">
        <f t="shared" si="12"/>
        <v>45457</v>
      </c>
    </row>
    <row r="799" spans="1:1" x14ac:dyDescent="0.2">
      <c r="A799" s="144">
        <f t="shared" si="12"/>
        <v>45458</v>
      </c>
    </row>
    <row r="800" spans="1:1" x14ac:dyDescent="0.2">
      <c r="A800" s="144">
        <f t="shared" si="12"/>
        <v>45459</v>
      </c>
    </row>
    <row r="801" spans="1:1" x14ac:dyDescent="0.2">
      <c r="A801" s="144">
        <f t="shared" si="12"/>
        <v>45460</v>
      </c>
    </row>
    <row r="802" spans="1:1" x14ac:dyDescent="0.2">
      <c r="A802" s="144">
        <f t="shared" si="12"/>
        <v>45461</v>
      </c>
    </row>
    <row r="803" spans="1:1" x14ac:dyDescent="0.2">
      <c r="A803" s="144">
        <f t="shared" si="12"/>
        <v>45462</v>
      </c>
    </row>
    <row r="804" spans="1:1" x14ac:dyDescent="0.2">
      <c r="A804" s="144">
        <f t="shared" si="12"/>
        <v>45463</v>
      </c>
    </row>
    <row r="805" spans="1:1" x14ac:dyDescent="0.2">
      <c r="A805" s="144">
        <f t="shared" si="12"/>
        <v>45464</v>
      </c>
    </row>
    <row r="806" spans="1:1" x14ac:dyDescent="0.2">
      <c r="A806" s="144">
        <f t="shared" si="12"/>
        <v>45465</v>
      </c>
    </row>
    <row r="807" spans="1:1" x14ac:dyDescent="0.2">
      <c r="A807" s="144">
        <f t="shared" si="12"/>
        <v>45466</v>
      </c>
    </row>
    <row r="808" spans="1:1" x14ac:dyDescent="0.2">
      <c r="A808" s="144">
        <f t="shared" si="12"/>
        <v>45467</v>
      </c>
    </row>
    <row r="809" spans="1:1" x14ac:dyDescent="0.2">
      <c r="A809" s="144">
        <f t="shared" si="12"/>
        <v>45468</v>
      </c>
    </row>
    <row r="810" spans="1:1" x14ac:dyDescent="0.2">
      <c r="A810" s="144">
        <f t="shared" si="12"/>
        <v>45469</v>
      </c>
    </row>
    <row r="811" spans="1:1" x14ac:dyDescent="0.2">
      <c r="A811" s="144">
        <f t="shared" si="12"/>
        <v>45470</v>
      </c>
    </row>
    <row r="812" spans="1:1" x14ac:dyDescent="0.2">
      <c r="A812" s="144">
        <f t="shared" si="12"/>
        <v>45471</v>
      </c>
    </row>
    <row r="813" spans="1:1" x14ac:dyDescent="0.2">
      <c r="A813" s="144">
        <f t="shared" si="12"/>
        <v>45472</v>
      </c>
    </row>
    <row r="814" spans="1:1" x14ac:dyDescent="0.2">
      <c r="A814" s="144">
        <f t="shared" si="12"/>
        <v>45473</v>
      </c>
    </row>
    <row r="815" spans="1:1" x14ac:dyDescent="0.2">
      <c r="A815" s="144">
        <f t="shared" si="12"/>
        <v>45474</v>
      </c>
    </row>
    <row r="816" spans="1:1" x14ac:dyDescent="0.2">
      <c r="A816" s="144">
        <f t="shared" si="12"/>
        <v>45475</v>
      </c>
    </row>
    <row r="817" spans="1:1" x14ac:dyDescent="0.2">
      <c r="A817" s="144">
        <f t="shared" si="12"/>
        <v>45476</v>
      </c>
    </row>
    <row r="818" spans="1:1" x14ac:dyDescent="0.2">
      <c r="A818" s="144">
        <f t="shared" si="12"/>
        <v>45477</v>
      </c>
    </row>
    <row r="819" spans="1:1" x14ac:dyDescent="0.2">
      <c r="A819" s="144">
        <f t="shared" si="12"/>
        <v>45478</v>
      </c>
    </row>
    <row r="820" spans="1:1" x14ac:dyDescent="0.2">
      <c r="A820" s="144">
        <f t="shared" si="12"/>
        <v>45479</v>
      </c>
    </row>
    <row r="821" spans="1:1" x14ac:dyDescent="0.2">
      <c r="A821" s="144">
        <f t="shared" si="12"/>
        <v>45480</v>
      </c>
    </row>
    <row r="822" spans="1:1" x14ac:dyDescent="0.2">
      <c r="A822" s="144">
        <f t="shared" si="12"/>
        <v>45481</v>
      </c>
    </row>
    <row r="823" spans="1:1" x14ac:dyDescent="0.2">
      <c r="A823" s="144">
        <f t="shared" si="12"/>
        <v>45482</v>
      </c>
    </row>
    <row r="824" spans="1:1" x14ac:dyDescent="0.2">
      <c r="A824" s="144">
        <f t="shared" si="12"/>
        <v>45483</v>
      </c>
    </row>
    <row r="825" spans="1:1" x14ac:dyDescent="0.2">
      <c r="A825" s="144">
        <f t="shared" si="12"/>
        <v>45484</v>
      </c>
    </row>
    <row r="826" spans="1:1" x14ac:dyDescent="0.2">
      <c r="A826" s="144">
        <f t="shared" si="12"/>
        <v>45485</v>
      </c>
    </row>
    <row r="827" spans="1:1" x14ac:dyDescent="0.2">
      <c r="A827" s="144">
        <f t="shared" si="12"/>
        <v>45486</v>
      </c>
    </row>
    <row r="828" spans="1:1" x14ac:dyDescent="0.2">
      <c r="A828" s="144">
        <f t="shared" si="12"/>
        <v>45487</v>
      </c>
    </row>
    <row r="829" spans="1:1" x14ac:dyDescent="0.2">
      <c r="A829" s="144">
        <f t="shared" si="12"/>
        <v>45488</v>
      </c>
    </row>
    <row r="830" spans="1:1" x14ac:dyDescent="0.2">
      <c r="A830" s="144">
        <f t="shared" si="12"/>
        <v>45489</v>
      </c>
    </row>
    <row r="831" spans="1:1" x14ac:dyDescent="0.2">
      <c r="A831" s="144">
        <f t="shared" si="12"/>
        <v>45490</v>
      </c>
    </row>
    <row r="832" spans="1:1" x14ac:dyDescent="0.2">
      <c r="A832" s="144">
        <f t="shared" si="12"/>
        <v>45491</v>
      </c>
    </row>
    <row r="833" spans="1:1" x14ac:dyDescent="0.2">
      <c r="A833" s="144">
        <f t="shared" si="12"/>
        <v>45492</v>
      </c>
    </row>
    <row r="834" spans="1:1" x14ac:dyDescent="0.2">
      <c r="A834" s="144">
        <f t="shared" si="12"/>
        <v>45493</v>
      </c>
    </row>
    <row r="835" spans="1:1" x14ac:dyDescent="0.2">
      <c r="A835" s="144">
        <f t="shared" si="12"/>
        <v>45494</v>
      </c>
    </row>
    <row r="836" spans="1:1" x14ac:dyDescent="0.2">
      <c r="A836" s="144">
        <f t="shared" ref="A836:A899" si="13">A835+1</f>
        <v>45495</v>
      </c>
    </row>
    <row r="837" spans="1:1" x14ac:dyDescent="0.2">
      <c r="A837" s="144">
        <f t="shared" si="13"/>
        <v>45496</v>
      </c>
    </row>
    <row r="838" spans="1:1" x14ac:dyDescent="0.2">
      <c r="A838" s="144">
        <f t="shared" si="13"/>
        <v>45497</v>
      </c>
    </row>
    <row r="839" spans="1:1" x14ac:dyDescent="0.2">
      <c r="A839" s="144">
        <f t="shared" si="13"/>
        <v>45498</v>
      </c>
    </row>
    <row r="840" spans="1:1" x14ac:dyDescent="0.2">
      <c r="A840" s="144">
        <f t="shared" si="13"/>
        <v>45499</v>
      </c>
    </row>
    <row r="841" spans="1:1" x14ac:dyDescent="0.2">
      <c r="A841" s="144">
        <f t="shared" si="13"/>
        <v>45500</v>
      </c>
    </row>
    <row r="842" spans="1:1" x14ac:dyDescent="0.2">
      <c r="A842" s="144">
        <f t="shared" si="13"/>
        <v>45501</v>
      </c>
    </row>
    <row r="843" spans="1:1" x14ac:dyDescent="0.2">
      <c r="A843" s="144">
        <f t="shared" si="13"/>
        <v>45502</v>
      </c>
    </row>
    <row r="844" spans="1:1" x14ac:dyDescent="0.2">
      <c r="A844" s="144">
        <f t="shared" si="13"/>
        <v>45503</v>
      </c>
    </row>
    <row r="845" spans="1:1" x14ac:dyDescent="0.2">
      <c r="A845" s="144">
        <f t="shared" si="13"/>
        <v>45504</v>
      </c>
    </row>
    <row r="846" spans="1:1" x14ac:dyDescent="0.2">
      <c r="A846" s="144">
        <f t="shared" si="13"/>
        <v>45505</v>
      </c>
    </row>
    <row r="847" spans="1:1" x14ac:dyDescent="0.2">
      <c r="A847" s="144">
        <f t="shared" si="13"/>
        <v>45506</v>
      </c>
    </row>
    <row r="848" spans="1:1" x14ac:dyDescent="0.2">
      <c r="A848" s="144">
        <f t="shared" si="13"/>
        <v>45507</v>
      </c>
    </row>
    <row r="849" spans="1:1" x14ac:dyDescent="0.2">
      <c r="A849" s="144">
        <f t="shared" si="13"/>
        <v>45508</v>
      </c>
    </row>
    <row r="850" spans="1:1" x14ac:dyDescent="0.2">
      <c r="A850" s="144">
        <f t="shared" si="13"/>
        <v>45509</v>
      </c>
    </row>
    <row r="851" spans="1:1" x14ac:dyDescent="0.2">
      <c r="A851" s="144">
        <f t="shared" si="13"/>
        <v>45510</v>
      </c>
    </row>
    <row r="852" spans="1:1" x14ac:dyDescent="0.2">
      <c r="A852" s="144">
        <f t="shared" si="13"/>
        <v>45511</v>
      </c>
    </row>
    <row r="853" spans="1:1" x14ac:dyDescent="0.2">
      <c r="A853" s="144">
        <f t="shared" si="13"/>
        <v>45512</v>
      </c>
    </row>
    <row r="854" spans="1:1" x14ac:dyDescent="0.2">
      <c r="A854" s="144">
        <f t="shared" si="13"/>
        <v>45513</v>
      </c>
    </row>
    <row r="855" spans="1:1" x14ac:dyDescent="0.2">
      <c r="A855" s="144">
        <f t="shared" si="13"/>
        <v>45514</v>
      </c>
    </row>
    <row r="856" spans="1:1" x14ac:dyDescent="0.2">
      <c r="A856" s="144">
        <f t="shared" si="13"/>
        <v>45515</v>
      </c>
    </row>
    <row r="857" spans="1:1" x14ac:dyDescent="0.2">
      <c r="A857" s="144">
        <f t="shared" si="13"/>
        <v>45516</v>
      </c>
    </row>
    <row r="858" spans="1:1" x14ac:dyDescent="0.2">
      <c r="A858" s="144">
        <f t="shared" si="13"/>
        <v>45517</v>
      </c>
    </row>
    <row r="859" spans="1:1" x14ac:dyDescent="0.2">
      <c r="A859" s="144">
        <f t="shared" si="13"/>
        <v>45518</v>
      </c>
    </row>
    <row r="860" spans="1:1" x14ac:dyDescent="0.2">
      <c r="A860" s="144">
        <f t="shared" si="13"/>
        <v>45519</v>
      </c>
    </row>
    <row r="861" spans="1:1" x14ac:dyDescent="0.2">
      <c r="A861" s="144">
        <f t="shared" si="13"/>
        <v>45520</v>
      </c>
    </row>
    <row r="862" spans="1:1" x14ac:dyDescent="0.2">
      <c r="A862" s="144">
        <f t="shared" si="13"/>
        <v>45521</v>
      </c>
    </row>
    <row r="863" spans="1:1" x14ac:dyDescent="0.2">
      <c r="A863" s="144">
        <f t="shared" si="13"/>
        <v>45522</v>
      </c>
    </row>
    <row r="864" spans="1:1" x14ac:dyDescent="0.2">
      <c r="A864" s="144">
        <f t="shared" si="13"/>
        <v>45523</v>
      </c>
    </row>
    <row r="865" spans="1:1" x14ac:dyDescent="0.2">
      <c r="A865" s="144">
        <f t="shared" si="13"/>
        <v>45524</v>
      </c>
    </row>
    <row r="866" spans="1:1" x14ac:dyDescent="0.2">
      <c r="A866" s="144">
        <f t="shared" si="13"/>
        <v>45525</v>
      </c>
    </row>
    <row r="867" spans="1:1" x14ac:dyDescent="0.2">
      <c r="A867" s="144">
        <f t="shared" si="13"/>
        <v>45526</v>
      </c>
    </row>
    <row r="868" spans="1:1" x14ac:dyDescent="0.2">
      <c r="A868" s="144">
        <f t="shared" si="13"/>
        <v>45527</v>
      </c>
    </row>
    <row r="869" spans="1:1" x14ac:dyDescent="0.2">
      <c r="A869" s="144">
        <f t="shared" si="13"/>
        <v>45528</v>
      </c>
    </row>
    <row r="870" spans="1:1" x14ac:dyDescent="0.2">
      <c r="A870" s="144">
        <f t="shared" si="13"/>
        <v>45529</v>
      </c>
    </row>
    <row r="871" spans="1:1" x14ac:dyDescent="0.2">
      <c r="A871" s="144">
        <f t="shared" si="13"/>
        <v>45530</v>
      </c>
    </row>
    <row r="872" spans="1:1" x14ac:dyDescent="0.2">
      <c r="A872" s="144">
        <f t="shared" si="13"/>
        <v>45531</v>
      </c>
    </row>
    <row r="873" spans="1:1" x14ac:dyDescent="0.2">
      <c r="A873" s="144">
        <f t="shared" si="13"/>
        <v>45532</v>
      </c>
    </row>
    <row r="874" spans="1:1" x14ac:dyDescent="0.2">
      <c r="A874" s="144">
        <f t="shared" si="13"/>
        <v>45533</v>
      </c>
    </row>
    <row r="875" spans="1:1" x14ac:dyDescent="0.2">
      <c r="A875" s="144">
        <f t="shared" si="13"/>
        <v>45534</v>
      </c>
    </row>
    <row r="876" spans="1:1" x14ac:dyDescent="0.2">
      <c r="A876" s="144">
        <f t="shared" si="13"/>
        <v>45535</v>
      </c>
    </row>
    <row r="877" spans="1:1" x14ac:dyDescent="0.2">
      <c r="A877" s="144">
        <f t="shared" si="13"/>
        <v>45536</v>
      </c>
    </row>
    <row r="878" spans="1:1" x14ac:dyDescent="0.2">
      <c r="A878" s="144">
        <f t="shared" si="13"/>
        <v>45537</v>
      </c>
    </row>
    <row r="879" spans="1:1" x14ac:dyDescent="0.2">
      <c r="A879" s="144">
        <f t="shared" si="13"/>
        <v>45538</v>
      </c>
    </row>
    <row r="880" spans="1:1" x14ac:dyDescent="0.2">
      <c r="A880" s="144">
        <f t="shared" si="13"/>
        <v>45539</v>
      </c>
    </row>
    <row r="881" spans="1:1" x14ac:dyDescent="0.2">
      <c r="A881" s="144">
        <f t="shared" si="13"/>
        <v>45540</v>
      </c>
    </row>
    <row r="882" spans="1:1" x14ac:dyDescent="0.2">
      <c r="A882" s="144">
        <f t="shared" si="13"/>
        <v>45541</v>
      </c>
    </row>
    <row r="883" spans="1:1" x14ac:dyDescent="0.2">
      <c r="A883" s="144">
        <f t="shared" si="13"/>
        <v>45542</v>
      </c>
    </row>
    <row r="884" spans="1:1" x14ac:dyDescent="0.2">
      <c r="A884" s="144">
        <f t="shared" si="13"/>
        <v>45543</v>
      </c>
    </row>
    <row r="885" spans="1:1" x14ac:dyDescent="0.2">
      <c r="A885" s="144">
        <f t="shared" si="13"/>
        <v>45544</v>
      </c>
    </row>
    <row r="886" spans="1:1" x14ac:dyDescent="0.2">
      <c r="A886" s="144">
        <f t="shared" si="13"/>
        <v>45545</v>
      </c>
    </row>
    <row r="887" spans="1:1" x14ac:dyDescent="0.2">
      <c r="A887" s="144">
        <f t="shared" si="13"/>
        <v>45546</v>
      </c>
    </row>
    <row r="888" spans="1:1" x14ac:dyDescent="0.2">
      <c r="A888" s="144">
        <f t="shared" si="13"/>
        <v>45547</v>
      </c>
    </row>
    <row r="889" spans="1:1" x14ac:dyDescent="0.2">
      <c r="A889" s="144">
        <f t="shared" si="13"/>
        <v>45548</v>
      </c>
    </row>
    <row r="890" spans="1:1" x14ac:dyDescent="0.2">
      <c r="A890" s="144">
        <f t="shared" si="13"/>
        <v>45549</v>
      </c>
    </row>
    <row r="891" spans="1:1" x14ac:dyDescent="0.2">
      <c r="A891" s="144">
        <f t="shared" si="13"/>
        <v>45550</v>
      </c>
    </row>
    <row r="892" spans="1:1" x14ac:dyDescent="0.2">
      <c r="A892" s="144">
        <f t="shared" si="13"/>
        <v>45551</v>
      </c>
    </row>
    <row r="893" spans="1:1" x14ac:dyDescent="0.2">
      <c r="A893" s="144">
        <f t="shared" si="13"/>
        <v>45552</v>
      </c>
    </row>
    <row r="894" spans="1:1" x14ac:dyDescent="0.2">
      <c r="A894" s="144">
        <f t="shared" si="13"/>
        <v>45553</v>
      </c>
    </row>
    <row r="895" spans="1:1" x14ac:dyDescent="0.2">
      <c r="A895" s="144">
        <f t="shared" si="13"/>
        <v>45554</v>
      </c>
    </row>
    <row r="896" spans="1:1" x14ac:dyDescent="0.2">
      <c r="A896" s="144">
        <f t="shared" si="13"/>
        <v>45555</v>
      </c>
    </row>
    <row r="897" spans="1:1" x14ac:dyDescent="0.2">
      <c r="A897" s="144">
        <f t="shared" si="13"/>
        <v>45556</v>
      </c>
    </row>
    <row r="898" spans="1:1" x14ac:dyDescent="0.2">
      <c r="A898" s="144">
        <f t="shared" si="13"/>
        <v>45557</v>
      </c>
    </row>
    <row r="899" spans="1:1" x14ac:dyDescent="0.2">
      <c r="A899" s="144">
        <f t="shared" si="13"/>
        <v>45558</v>
      </c>
    </row>
    <row r="900" spans="1:1" x14ac:dyDescent="0.2">
      <c r="A900" s="144">
        <f t="shared" ref="A900:A963" si="14">A899+1</f>
        <v>45559</v>
      </c>
    </row>
    <row r="901" spans="1:1" x14ac:dyDescent="0.2">
      <c r="A901" s="144">
        <f t="shared" si="14"/>
        <v>45560</v>
      </c>
    </row>
    <row r="902" spans="1:1" x14ac:dyDescent="0.2">
      <c r="A902" s="144">
        <f t="shared" si="14"/>
        <v>45561</v>
      </c>
    </row>
    <row r="903" spans="1:1" x14ac:dyDescent="0.2">
      <c r="A903" s="144">
        <f t="shared" si="14"/>
        <v>45562</v>
      </c>
    </row>
    <row r="904" spans="1:1" x14ac:dyDescent="0.2">
      <c r="A904" s="144">
        <f t="shared" si="14"/>
        <v>45563</v>
      </c>
    </row>
    <row r="905" spans="1:1" x14ac:dyDescent="0.2">
      <c r="A905" s="144">
        <f t="shared" si="14"/>
        <v>45564</v>
      </c>
    </row>
    <row r="906" spans="1:1" x14ac:dyDescent="0.2">
      <c r="A906" s="144">
        <f t="shared" si="14"/>
        <v>45565</v>
      </c>
    </row>
    <row r="907" spans="1:1" x14ac:dyDescent="0.2">
      <c r="A907" s="144">
        <f t="shared" si="14"/>
        <v>45566</v>
      </c>
    </row>
    <row r="908" spans="1:1" x14ac:dyDescent="0.2">
      <c r="A908" s="144">
        <f t="shared" si="14"/>
        <v>45567</v>
      </c>
    </row>
    <row r="909" spans="1:1" x14ac:dyDescent="0.2">
      <c r="A909" s="144">
        <f t="shared" si="14"/>
        <v>45568</v>
      </c>
    </row>
    <row r="910" spans="1:1" x14ac:dyDescent="0.2">
      <c r="A910" s="144">
        <f t="shared" si="14"/>
        <v>45569</v>
      </c>
    </row>
    <row r="911" spans="1:1" x14ac:dyDescent="0.2">
      <c r="A911" s="144">
        <f t="shared" si="14"/>
        <v>45570</v>
      </c>
    </row>
    <row r="912" spans="1:1" x14ac:dyDescent="0.2">
      <c r="A912" s="144">
        <f t="shared" si="14"/>
        <v>45571</v>
      </c>
    </row>
    <row r="913" spans="1:1" x14ac:dyDescent="0.2">
      <c r="A913" s="144">
        <f t="shared" si="14"/>
        <v>45572</v>
      </c>
    </row>
    <row r="914" spans="1:1" x14ac:dyDescent="0.2">
      <c r="A914" s="144">
        <f t="shared" si="14"/>
        <v>45573</v>
      </c>
    </row>
    <row r="915" spans="1:1" x14ac:dyDescent="0.2">
      <c r="A915" s="144">
        <f t="shared" si="14"/>
        <v>45574</v>
      </c>
    </row>
    <row r="916" spans="1:1" x14ac:dyDescent="0.2">
      <c r="A916" s="144">
        <f t="shared" si="14"/>
        <v>45575</v>
      </c>
    </row>
    <row r="917" spans="1:1" x14ac:dyDescent="0.2">
      <c r="A917" s="144">
        <f t="shared" si="14"/>
        <v>45576</v>
      </c>
    </row>
    <row r="918" spans="1:1" x14ac:dyDescent="0.2">
      <c r="A918" s="144">
        <f t="shared" si="14"/>
        <v>45577</v>
      </c>
    </row>
    <row r="919" spans="1:1" x14ac:dyDescent="0.2">
      <c r="A919" s="144">
        <f t="shared" si="14"/>
        <v>45578</v>
      </c>
    </row>
    <row r="920" spans="1:1" x14ac:dyDescent="0.2">
      <c r="A920" s="144">
        <f t="shared" si="14"/>
        <v>45579</v>
      </c>
    </row>
    <row r="921" spans="1:1" x14ac:dyDescent="0.2">
      <c r="A921" s="144">
        <f t="shared" si="14"/>
        <v>45580</v>
      </c>
    </row>
    <row r="922" spans="1:1" x14ac:dyDescent="0.2">
      <c r="A922" s="144">
        <f t="shared" si="14"/>
        <v>45581</v>
      </c>
    </row>
    <row r="923" spans="1:1" x14ac:dyDescent="0.2">
      <c r="A923" s="144">
        <f t="shared" si="14"/>
        <v>45582</v>
      </c>
    </row>
    <row r="924" spans="1:1" x14ac:dyDescent="0.2">
      <c r="A924" s="144">
        <f t="shared" si="14"/>
        <v>45583</v>
      </c>
    </row>
    <row r="925" spans="1:1" x14ac:dyDescent="0.2">
      <c r="A925" s="144">
        <f t="shared" si="14"/>
        <v>45584</v>
      </c>
    </row>
    <row r="926" spans="1:1" x14ac:dyDescent="0.2">
      <c r="A926" s="144">
        <f t="shared" si="14"/>
        <v>45585</v>
      </c>
    </row>
    <row r="927" spans="1:1" x14ac:dyDescent="0.2">
      <c r="A927" s="144">
        <f t="shared" si="14"/>
        <v>45586</v>
      </c>
    </row>
    <row r="928" spans="1:1" x14ac:dyDescent="0.2">
      <c r="A928" s="144">
        <f t="shared" si="14"/>
        <v>45587</v>
      </c>
    </row>
    <row r="929" spans="1:1" x14ac:dyDescent="0.2">
      <c r="A929" s="144">
        <f t="shared" si="14"/>
        <v>45588</v>
      </c>
    </row>
    <row r="930" spans="1:1" x14ac:dyDescent="0.2">
      <c r="A930" s="144">
        <f t="shared" si="14"/>
        <v>45589</v>
      </c>
    </row>
    <row r="931" spans="1:1" x14ac:dyDescent="0.2">
      <c r="A931" s="144">
        <f t="shared" si="14"/>
        <v>45590</v>
      </c>
    </row>
    <row r="932" spans="1:1" x14ac:dyDescent="0.2">
      <c r="A932" s="144">
        <f t="shared" si="14"/>
        <v>45591</v>
      </c>
    </row>
    <row r="933" spans="1:1" x14ac:dyDescent="0.2">
      <c r="A933" s="144">
        <f t="shared" si="14"/>
        <v>45592</v>
      </c>
    </row>
    <row r="934" spans="1:1" x14ac:dyDescent="0.2">
      <c r="A934" s="144">
        <f t="shared" si="14"/>
        <v>45593</v>
      </c>
    </row>
    <row r="935" spans="1:1" x14ac:dyDescent="0.2">
      <c r="A935" s="144">
        <f t="shared" si="14"/>
        <v>45594</v>
      </c>
    </row>
    <row r="936" spans="1:1" x14ac:dyDescent="0.2">
      <c r="A936" s="144">
        <f t="shared" si="14"/>
        <v>45595</v>
      </c>
    </row>
    <row r="937" spans="1:1" x14ac:dyDescent="0.2">
      <c r="A937" s="144">
        <f t="shared" si="14"/>
        <v>45596</v>
      </c>
    </row>
    <row r="938" spans="1:1" x14ac:dyDescent="0.2">
      <c r="A938" s="144">
        <f t="shared" si="14"/>
        <v>45597</v>
      </c>
    </row>
    <row r="939" spans="1:1" x14ac:dyDescent="0.2">
      <c r="A939" s="144">
        <f t="shared" si="14"/>
        <v>45598</v>
      </c>
    </row>
    <row r="940" spans="1:1" x14ac:dyDescent="0.2">
      <c r="A940" s="144">
        <f t="shared" si="14"/>
        <v>45599</v>
      </c>
    </row>
    <row r="941" spans="1:1" x14ac:dyDescent="0.2">
      <c r="A941" s="144">
        <f t="shared" si="14"/>
        <v>45600</v>
      </c>
    </row>
    <row r="942" spans="1:1" x14ac:dyDescent="0.2">
      <c r="A942" s="144">
        <f t="shared" si="14"/>
        <v>45601</v>
      </c>
    </row>
    <row r="943" spans="1:1" x14ac:dyDescent="0.2">
      <c r="A943" s="144">
        <f t="shared" si="14"/>
        <v>45602</v>
      </c>
    </row>
    <row r="944" spans="1:1" x14ac:dyDescent="0.2">
      <c r="A944" s="144">
        <f t="shared" si="14"/>
        <v>45603</v>
      </c>
    </row>
    <row r="945" spans="1:1" x14ac:dyDescent="0.2">
      <c r="A945" s="144">
        <f t="shared" si="14"/>
        <v>45604</v>
      </c>
    </row>
    <row r="946" spans="1:1" x14ac:dyDescent="0.2">
      <c r="A946" s="144">
        <f t="shared" si="14"/>
        <v>45605</v>
      </c>
    </row>
    <row r="947" spans="1:1" x14ac:dyDescent="0.2">
      <c r="A947" s="144">
        <f t="shared" si="14"/>
        <v>45606</v>
      </c>
    </row>
    <row r="948" spans="1:1" x14ac:dyDescent="0.2">
      <c r="A948" s="144">
        <f t="shared" si="14"/>
        <v>45607</v>
      </c>
    </row>
    <row r="949" spans="1:1" x14ac:dyDescent="0.2">
      <c r="A949" s="144">
        <f t="shared" si="14"/>
        <v>45608</v>
      </c>
    </row>
    <row r="950" spans="1:1" x14ac:dyDescent="0.2">
      <c r="A950" s="144">
        <f t="shared" si="14"/>
        <v>45609</v>
      </c>
    </row>
    <row r="951" spans="1:1" x14ac:dyDescent="0.2">
      <c r="A951" s="144">
        <f t="shared" si="14"/>
        <v>45610</v>
      </c>
    </row>
    <row r="952" spans="1:1" x14ac:dyDescent="0.2">
      <c r="A952" s="144">
        <f t="shared" si="14"/>
        <v>45611</v>
      </c>
    </row>
    <row r="953" spans="1:1" x14ac:dyDescent="0.2">
      <c r="A953" s="144">
        <f t="shared" si="14"/>
        <v>45612</v>
      </c>
    </row>
    <row r="954" spans="1:1" x14ac:dyDescent="0.2">
      <c r="A954" s="144">
        <f t="shared" si="14"/>
        <v>45613</v>
      </c>
    </row>
    <row r="955" spans="1:1" x14ac:dyDescent="0.2">
      <c r="A955" s="144">
        <f t="shared" si="14"/>
        <v>45614</v>
      </c>
    </row>
    <row r="956" spans="1:1" x14ac:dyDescent="0.2">
      <c r="A956" s="144">
        <f t="shared" si="14"/>
        <v>45615</v>
      </c>
    </row>
    <row r="957" spans="1:1" x14ac:dyDescent="0.2">
      <c r="A957" s="144">
        <f t="shared" si="14"/>
        <v>45616</v>
      </c>
    </row>
    <row r="958" spans="1:1" x14ac:dyDescent="0.2">
      <c r="A958" s="144">
        <f t="shared" si="14"/>
        <v>45617</v>
      </c>
    </row>
    <row r="959" spans="1:1" x14ac:dyDescent="0.2">
      <c r="A959" s="144">
        <f t="shared" si="14"/>
        <v>45618</v>
      </c>
    </row>
    <row r="960" spans="1:1" x14ac:dyDescent="0.2">
      <c r="A960" s="144">
        <f t="shared" si="14"/>
        <v>45619</v>
      </c>
    </row>
    <row r="961" spans="1:1" x14ac:dyDescent="0.2">
      <c r="A961" s="144">
        <f t="shared" si="14"/>
        <v>45620</v>
      </c>
    </row>
    <row r="962" spans="1:1" x14ac:dyDescent="0.2">
      <c r="A962" s="144">
        <f t="shared" si="14"/>
        <v>45621</v>
      </c>
    </row>
    <row r="963" spans="1:1" x14ac:dyDescent="0.2">
      <c r="A963" s="144">
        <f t="shared" si="14"/>
        <v>45622</v>
      </c>
    </row>
    <row r="964" spans="1:1" x14ac:dyDescent="0.2">
      <c r="A964" s="144">
        <f t="shared" ref="A964:A998" si="15">A963+1</f>
        <v>45623</v>
      </c>
    </row>
    <row r="965" spans="1:1" x14ac:dyDescent="0.2">
      <c r="A965" s="144">
        <f t="shared" si="15"/>
        <v>45624</v>
      </c>
    </row>
    <row r="966" spans="1:1" x14ac:dyDescent="0.2">
      <c r="A966" s="144">
        <f t="shared" si="15"/>
        <v>45625</v>
      </c>
    </row>
    <row r="967" spans="1:1" x14ac:dyDescent="0.2">
      <c r="A967" s="144">
        <f t="shared" si="15"/>
        <v>45626</v>
      </c>
    </row>
    <row r="968" spans="1:1" x14ac:dyDescent="0.2">
      <c r="A968" s="144">
        <f t="shared" si="15"/>
        <v>45627</v>
      </c>
    </row>
    <row r="969" spans="1:1" x14ac:dyDescent="0.2">
      <c r="A969" s="144">
        <f t="shared" si="15"/>
        <v>45628</v>
      </c>
    </row>
    <row r="970" spans="1:1" x14ac:dyDescent="0.2">
      <c r="A970" s="144">
        <f t="shared" si="15"/>
        <v>45629</v>
      </c>
    </row>
    <row r="971" spans="1:1" x14ac:dyDescent="0.2">
      <c r="A971" s="144">
        <f t="shared" si="15"/>
        <v>45630</v>
      </c>
    </row>
    <row r="972" spans="1:1" x14ac:dyDescent="0.2">
      <c r="A972" s="144">
        <f t="shared" si="15"/>
        <v>45631</v>
      </c>
    </row>
    <row r="973" spans="1:1" x14ac:dyDescent="0.2">
      <c r="A973" s="144">
        <f t="shared" si="15"/>
        <v>45632</v>
      </c>
    </row>
    <row r="974" spans="1:1" x14ac:dyDescent="0.2">
      <c r="A974" s="144">
        <f t="shared" si="15"/>
        <v>45633</v>
      </c>
    </row>
    <row r="975" spans="1:1" x14ac:dyDescent="0.2">
      <c r="A975" s="144">
        <f t="shared" si="15"/>
        <v>45634</v>
      </c>
    </row>
    <row r="976" spans="1:1" x14ac:dyDescent="0.2">
      <c r="A976" s="144">
        <f t="shared" si="15"/>
        <v>45635</v>
      </c>
    </row>
    <row r="977" spans="1:1" x14ac:dyDescent="0.2">
      <c r="A977" s="144">
        <f t="shared" si="15"/>
        <v>45636</v>
      </c>
    </row>
    <row r="978" spans="1:1" x14ac:dyDescent="0.2">
      <c r="A978" s="144">
        <f t="shared" si="15"/>
        <v>45637</v>
      </c>
    </row>
    <row r="979" spans="1:1" x14ac:dyDescent="0.2">
      <c r="A979" s="144">
        <f t="shared" si="15"/>
        <v>45638</v>
      </c>
    </row>
    <row r="980" spans="1:1" x14ac:dyDescent="0.2">
      <c r="A980" s="144">
        <f t="shared" si="15"/>
        <v>45639</v>
      </c>
    </row>
    <row r="981" spans="1:1" x14ac:dyDescent="0.2">
      <c r="A981" s="144">
        <f t="shared" si="15"/>
        <v>45640</v>
      </c>
    </row>
    <row r="982" spans="1:1" x14ac:dyDescent="0.2">
      <c r="A982" s="144">
        <f t="shared" si="15"/>
        <v>45641</v>
      </c>
    </row>
    <row r="983" spans="1:1" x14ac:dyDescent="0.2">
      <c r="A983" s="144">
        <f t="shared" si="15"/>
        <v>45642</v>
      </c>
    </row>
    <row r="984" spans="1:1" x14ac:dyDescent="0.2">
      <c r="A984" s="144">
        <f t="shared" si="15"/>
        <v>45643</v>
      </c>
    </row>
    <row r="985" spans="1:1" x14ac:dyDescent="0.2">
      <c r="A985" s="144">
        <f t="shared" si="15"/>
        <v>45644</v>
      </c>
    </row>
    <row r="986" spans="1:1" x14ac:dyDescent="0.2">
      <c r="A986" s="144">
        <f t="shared" si="15"/>
        <v>45645</v>
      </c>
    </row>
    <row r="987" spans="1:1" x14ac:dyDescent="0.2">
      <c r="A987" s="144">
        <f t="shared" si="15"/>
        <v>45646</v>
      </c>
    </row>
    <row r="988" spans="1:1" x14ac:dyDescent="0.2">
      <c r="A988" s="144">
        <f t="shared" si="15"/>
        <v>45647</v>
      </c>
    </row>
    <row r="989" spans="1:1" x14ac:dyDescent="0.2">
      <c r="A989" s="144">
        <f t="shared" si="15"/>
        <v>45648</v>
      </c>
    </row>
    <row r="990" spans="1:1" x14ac:dyDescent="0.2">
      <c r="A990" s="144">
        <f t="shared" si="15"/>
        <v>45649</v>
      </c>
    </row>
    <row r="991" spans="1:1" x14ac:dyDescent="0.2">
      <c r="A991" s="144">
        <f t="shared" si="15"/>
        <v>45650</v>
      </c>
    </row>
    <row r="992" spans="1:1" x14ac:dyDescent="0.2">
      <c r="A992" s="144">
        <f t="shared" si="15"/>
        <v>45651</v>
      </c>
    </row>
    <row r="993" spans="1:1" x14ac:dyDescent="0.2">
      <c r="A993" s="144">
        <f t="shared" si="15"/>
        <v>45652</v>
      </c>
    </row>
    <row r="994" spans="1:1" x14ac:dyDescent="0.2">
      <c r="A994" s="144">
        <f t="shared" si="15"/>
        <v>45653</v>
      </c>
    </row>
    <row r="995" spans="1:1" x14ac:dyDescent="0.2">
      <c r="A995" s="144">
        <f t="shared" si="15"/>
        <v>45654</v>
      </c>
    </row>
    <row r="996" spans="1:1" x14ac:dyDescent="0.2">
      <c r="A996" s="144">
        <f t="shared" si="15"/>
        <v>45655</v>
      </c>
    </row>
    <row r="997" spans="1:1" x14ac:dyDescent="0.2">
      <c r="A997" s="144">
        <f t="shared" si="15"/>
        <v>45656</v>
      </c>
    </row>
    <row r="998" spans="1:1" x14ac:dyDescent="0.2">
      <c r="A998" s="144">
        <f t="shared" si="15"/>
        <v>45657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50"/>
  <sheetViews>
    <sheetView topLeftCell="A4" zoomScale="80" zoomScaleNormal="80" workbookViewId="0">
      <selection activeCell="F9" sqref="F9"/>
    </sheetView>
  </sheetViews>
  <sheetFormatPr defaultRowHeight="12.75" x14ac:dyDescent="0.2"/>
  <cols>
    <col min="1" max="1" width="3" customWidth="1"/>
    <col min="2" max="3" width="5" customWidth="1"/>
    <col min="5" max="5" width="28.140625" customWidth="1"/>
    <col min="6" max="6" width="12.42578125" bestFit="1" customWidth="1"/>
    <col min="8" max="8" width="10" bestFit="1" customWidth="1"/>
    <col min="9" max="9" width="6.42578125" customWidth="1"/>
    <col min="10" max="10" width="15" bestFit="1" customWidth="1"/>
    <col min="11" max="11" width="11.42578125" bestFit="1" customWidth="1"/>
    <col min="12" max="12" width="7.42578125" bestFit="1" customWidth="1"/>
    <col min="13" max="13" width="5" customWidth="1"/>
    <col min="14" max="14" width="4.28515625" bestFit="1" customWidth="1"/>
    <col min="15" max="15" width="6.140625" bestFit="1" customWidth="1"/>
    <col min="16" max="16" width="8.85546875" bestFit="1" customWidth="1"/>
    <col min="17" max="17" width="25.5703125" bestFit="1" customWidth="1"/>
    <col min="18" max="18" width="12.42578125" customWidth="1"/>
    <col min="19" max="19" width="7.140625" bestFit="1" customWidth="1"/>
    <col min="20" max="20" width="8.85546875" bestFit="1" customWidth="1"/>
    <col min="21" max="21" width="6.42578125" bestFit="1" customWidth="1"/>
    <col min="22" max="22" width="15" bestFit="1" customWidth="1"/>
    <col min="23" max="23" width="12.42578125" bestFit="1" customWidth="1"/>
  </cols>
  <sheetData>
    <row r="1" spans="2:24" x14ac:dyDescent="0.2">
      <c r="E1" t="e">
        <f>IF(E18="","",IF(#REF!="",ROW($A$2)&amp;"."&amp;COUNTA($E$18:E18),ROW($A$1)-COUNTBLANK($E$18:E18)&amp;"."&amp;ROW(A18)))</f>
        <v>#REF!</v>
      </c>
    </row>
    <row r="2" spans="2:24" x14ac:dyDescent="0.2">
      <c r="E2" t="str">
        <f>IF(E21="","",IF(E20="",ROW($A$2)&amp;"."&amp;COUNTA($E$18:E21),ROW($A$1)-COUNTBLANK($E$18:E21)&amp;"."&amp;ROW(A21)))</f>
        <v>1.21</v>
      </c>
    </row>
    <row r="4" spans="2:24" x14ac:dyDescent="0.2">
      <c r="B4" s="674" t="s">
        <v>322</v>
      </c>
      <c r="C4" s="675"/>
      <c r="D4" s="676"/>
      <c r="E4" s="676"/>
      <c r="F4" s="675"/>
      <c r="G4" s="676"/>
      <c r="H4" s="676"/>
      <c r="I4" s="675"/>
      <c r="J4" s="675"/>
      <c r="K4" s="676"/>
      <c r="L4" s="677"/>
      <c r="N4" s="674" t="s">
        <v>322</v>
      </c>
      <c r="O4" s="675"/>
      <c r="P4" s="676"/>
      <c r="Q4" s="676"/>
      <c r="R4" s="675"/>
      <c r="S4" s="676"/>
      <c r="T4" s="676"/>
      <c r="U4" s="675"/>
      <c r="V4" s="675"/>
      <c r="W4" s="676"/>
      <c r="X4" s="677"/>
    </row>
    <row r="5" spans="2:24" x14ac:dyDescent="0.2">
      <c r="B5" s="678" t="s">
        <v>323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N5" s="678" t="s">
        <v>323</v>
      </c>
      <c r="O5" s="678"/>
      <c r="P5" s="678"/>
      <c r="Q5" s="678"/>
      <c r="R5" s="678"/>
      <c r="S5" s="678"/>
      <c r="T5" s="678"/>
      <c r="U5" s="678"/>
      <c r="V5" s="678"/>
      <c r="W5" s="678"/>
      <c r="X5" s="678"/>
    </row>
    <row r="6" spans="2:24" x14ac:dyDescent="0.2">
      <c r="B6" s="679"/>
      <c r="C6" s="680"/>
      <c r="D6" s="679"/>
      <c r="E6" s="679"/>
      <c r="F6" s="680"/>
      <c r="G6" s="679"/>
      <c r="H6" s="679"/>
      <c r="I6" s="680"/>
      <c r="J6" s="680"/>
      <c r="K6" s="679"/>
      <c r="L6" s="679"/>
      <c r="N6" s="679"/>
      <c r="O6" s="680"/>
      <c r="P6" s="679"/>
      <c r="Q6" s="679"/>
      <c r="R6" s="680"/>
      <c r="S6" s="679"/>
      <c r="T6" s="679"/>
      <c r="U6" s="680"/>
      <c r="V6" s="680"/>
      <c r="W6" s="679"/>
      <c r="X6" s="679"/>
    </row>
    <row r="7" spans="2:24" x14ac:dyDescent="0.2">
      <c r="B7" s="684"/>
      <c r="C7" s="663" t="s">
        <v>320</v>
      </c>
      <c r="D7" s="664"/>
      <c r="E7" s="672" t="str">
        <f>CUST_Geral_M_OBRA!D6</f>
        <v>Reforma de imóvel em Jacarepaguá</v>
      </c>
      <c r="F7" s="673"/>
      <c r="G7" s="672"/>
      <c r="H7" s="672"/>
      <c r="I7" s="673"/>
      <c r="J7" s="673"/>
      <c r="K7" s="672"/>
      <c r="L7" s="672"/>
      <c r="N7" s="681"/>
      <c r="O7" s="663" t="s">
        <v>320</v>
      </c>
      <c r="P7" s="664"/>
      <c r="Q7" s="672" t="str">
        <f>CUST_Geral_M_OBRA!D6</f>
        <v>Reforma de imóvel em Jacarepaguá</v>
      </c>
      <c r="R7" s="673"/>
      <c r="S7" s="672"/>
      <c r="T7" s="672"/>
      <c r="U7" s="673"/>
      <c r="V7" s="673"/>
      <c r="W7" s="672"/>
      <c r="X7" s="672"/>
    </row>
    <row r="8" spans="2:24" x14ac:dyDescent="0.2">
      <c r="B8" s="682"/>
      <c r="C8" s="665" t="s">
        <v>321</v>
      </c>
      <c r="D8" s="666"/>
      <c r="E8" s="672" t="str">
        <f>CUST_Geral_M_OBRA!D7</f>
        <v>Rua Cassiopeia, n° 86, Taquara - RJ</v>
      </c>
      <c r="F8" s="673"/>
      <c r="G8" s="672"/>
      <c r="H8" s="672"/>
      <c r="I8" s="673"/>
      <c r="J8" s="673"/>
      <c r="K8" s="672"/>
      <c r="L8" s="672"/>
      <c r="N8" s="682"/>
      <c r="O8" s="665" t="s">
        <v>321</v>
      </c>
      <c r="P8" s="666"/>
      <c r="Q8" s="672" t="str">
        <f>CUST_Geral_M_OBRA!D7</f>
        <v>Rua Cassiopeia, n° 86, Taquara - RJ</v>
      </c>
      <c r="R8" s="673"/>
      <c r="S8" s="672"/>
      <c r="T8" s="672"/>
      <c r="U8" s="673"/>
      <c r="V8" s="673"/>
      <c r="W8" s="672"/>
      <c r="X8" s="672"/>
    </row>
    <row r="9" spans="2:24" x14ac:dyDescent="0.2">
      <c r="B9" s="682"/>
      <c r="C9" s="665" t="s">
        <v>319</v>
      </c>
      <c r="D9" s="666"/>
      <c r="E9" s="267">
        <v>44670</v>
      </c>
      <c r="F9" s="467"/>
      <c r="G9" s="158"/>
      <c r="H9" s="158"/>
      <c r="I9" s="464"/>
      <c r="J9" s="464"/>
      <c r="K9" s="158"/>
      <c r="L9" s="159" t="s">
        <v>324</v>
      </c>
      <c r="N9" s="682"/>
      <c r="O9" s="665" t="s">
        <v>319</v>
      </c>
      <c r="P9" s="666"/>
      <c r="Q9" s="267">
        <v>44670</v>
      </c>
      <c r="R9" s="467"/>
      <c r="S9" s="158"/>
      <c r="T9" s="158"/>
      <c r="U9" s="464"/>
      <c r="V9" s="464"/>
      <c r="W9" s="158"/>
      <c r="X9" s="159" t="s">
        <v>324</v>
      </c>
    </row>
    <row r="10" spans="2:24" ht="13.5" thickBot="1" x14ac:dyDescent="0.25">
      <c r="B10" s="683"/>
      <c r="C10" s="428" t="s">
        <v>316</v>
      </c>
      <c r="D10" s="302" t="s">
        <v>549</v>
      </c>
      <c r="E10" s="158" t="s">
        <v>1</v>
      </c>
      <c r="F10" s="465" t="s">
        <v>515</v>
      </c>
      <c r="G10" s="158" t="s">
        <v>270</v>
      </c>
      <c r="H10" s="158" t="s">
        <v>317</v>
      </c>
      <c r="I10" s="465" t="s">
        <v>513</v>
      </c>
      <c r="J10" s="465" t="s">
        <v>542</v>
      </c>
      <c r="K10" s="158" t="s">
        <v>318</v>
      </c>
      <c r="L10" s="159" t="s">
        <v>270</v>
      </c>
      <c r="N10" s="683"/>
      <c r="O10" s="428" t="s">
        <v>316</v>
      </c>
      <c r="P10" s="302" t="s">
        <v>549</v>
      </c>
      <c r="Q10" s="158" t="s">
        <v>1</v>
      </c>
      <c r="R10" s="465" t="s">
        <v>515</v>
      </c>
      <c r="S10" s="158" t="s">
        <v>270</v>
      </c>
      <c r="T10" s="158" t="s">
        <v>317</v>
      </c>
      <c r="U10" s="465" t="s">
        <v>513</v>
      </c>
      <c r="V10" s="465" t="s">
        <v>542</v>
      </c>
      <c r="W10" s="158" t="s">
        <v>318</v>
      </c>
      <c r="X10" s="159" t="s">
        <v>270</v>
      </c>
    </row>
    <row r="11" spans="2:24" ht="12.75" customHeight="1" x14ac:dyDescent="0.2">
      <c r="B11" s="667" t="s">
        <v>550</v>
      </c>
      <c r="C11" s="464">
        <f>IF(D11="","",ROW(A11)-10-COUNTBLANK($D$11:D11))</f>
        <v>1</v>
      </c>
      <c r="D11" s="464" t="str">
        <f>IF(E11="","",IF(E11="",ROW($A$11)-10&amp;"."&amp;COUNTA($E$11:E11),ROW($A$11)-10-COUNTBLANK($E$11:E11)&amp;"."&amp;ROW(A11)-10))</f>
        <v>1.1</v>
      </c>
      <c r="E11" s="487" t="s">
        <v>551</v>
      </c>
      <c r="F11" s="488">
        <v>44679</v>
      </c>
      <c r="G11" s="492">
        <v>1</v>
      </c>
      <c r="H11" s="480">
        <v>15.9</v>
      </c>
      <c r="I11" s="468"/>
      <c r="J11" s="468"/>
      <c r="K11" s="158"/>
      <c r="L11" s="158"/>
      <c r="N11" s="667" t="s">
        <v>550</v>
      </c>
      <c r="O11" s="464">
        <f>IF(P11="","",ROW(A11)-10-COUNTBLANK($P$11:P11))</f>
        <v>1</v>
      </c>
      <c r="P11" s="464" t="str">
        <f>IF(Q11="","",IF(Q11="",ROW($A$11)-10&amp;"."&amp;COUNTA($Q$11:Q11),ROW($A$11)-10-COUNTBLANK($Q$11:Q11)&amp;"."&amp;ROW(A11)-10))</f>
        <v>1.1</v>
      </c>
      <c r="Q11" s="487" t="s">
        <v>551</v>
      </c>
      <c r="R11" s="488">
        <v>44679</v>
      </c>
      <c r="S11" s="479">
        <v>1</v>
      </c>
      <c r="T11" s="480">
        <v>15.9</v>
      </c>
      <c r="U11" s="468"/>
      <c r="V11" s="468"/>
      <c r="W11" s="158"/>
      <c r="X11" s="158"/>
    </row>
    <row r="12" spans="2:24" x14ac:dyDescent="0.2">
      <c r="B12" s="668"/>
      <c r="C12" s="464">
        <f>IF(D12="","",ROW(A12)-10-COUNTBLANK($D$11:D12))</f>
        <v>2</v>
      </c>
      <c r="D12" s="464" t="str">
        <f>IF(E12="","",IF(E11="",ROW($A$11)-10&amp;"."&amp;COUNTA($E$11:E12),ROW($A$11)-10-COUNTBLANK($E$11:E12)&amp;"."&amp;ROW(A12)-10))</f>
        <v>1.2</v>
      </c>
      <c r="E12" s="465" t="s">
        <v>552</v>
      </c>
      <c r="F12" s="489">
        <v>44679</v>
      </c>
      <c r="G12" s="493">
        <v>1</v>
      </c>
      <c r="H12" s="468"/>
      <c r="I12" s="468"/>
      <c r="J12" s="468"/>
      <c r="K12" s="158"/>
      <c r="L12" s="158"/>
      <c r="N12" s="668"/>
      <c r="O12" s="464">
        <f>IF(P12="","",ROW(A12)-10-COUNTBLANK($P$11:P12))</f>
        <v>2</v>
      </c>
      <c r="P12" s="464" t="str">
        <f>IF(Q12="","",IF(Q11="",ROW($A$11)-10&amp;"."&amp;COUNTA($Q$11:Q12),ROW($A$11)-10-COUNTBLANK($Q$11:Q12)&amp;"."&amp;ROW(A12)-10))</f>
        <v>1.2</v>
      </c>
      <c r="Q12" s="465" t="s">
        <v>552</v>
      </c>
      <c r="R12" s="489">
        <v>44679</v>
      </c>
      <c r="S12" s="464">
        <v>1</v>
      </c>
      <c r="T12" s="468"/>
      <c r="U12" s="468"/>
      <c r="V12" s="468"/>
      <c r="W12" s="158"/>
      <c r="X12" s="158"/>
    </row>
    <row r="13" spans="2:24" x14ac:dyDescent="0.2">
      <c r="B13" s="668"/>
      <c r="C13" s="464">
        <f>IF(D13="","",ROW(A13)-10-COUNTBLANK($D$11:D13))</f>
        <v>3</v>
      </c>
      <c r="D13" s="464" t="str">
        <f>IF(E13="","",IF(E12="",ROW($A$11)-10&amp;"."&amp;COUNTA($E$11:E13),ROW($A$11)-10-COUNTBLANK($E$11:E13)&amp;"."&amp;ROW(A13)-10))</f>
        <v>1.3</v>
      </c>
      <c r="E13" s="465" t="s">
        <v>553</v>
      </c>
      <c r="F13" s="464"/>
      <c r="G13" s="493">
        <v>1</v>
      </c>
      <c r="H13" s="468"/>
      <c r="I13" s="468"/>
      <c r="J13" s="468"/>
      <c r="K13" s="158"/>
      <c r="L13" s="158"/>
      <c r="N13" s="668"/>
      <c r="O13" s="464">
        <f>IF(P13="","",ROW(A13)-10-COUNTBLANK($P$11:P13))</f>
        <v>3</v>
      </c>
      <c r="P13" s="464" t="str">
        <f>IF(Q13="","",IF(Q12="",ROW($A$11)-10&amp;"."&amp;COUNTA($Q$11:Q13),ROW($A$11)-10-COUNTBLANK($Q$11:Q13)&amp;"."&amp;ROW(A13)-10))</f>
        <v>1.3</v>
      </c>
      <c r="Q13" s="465" t="s">
        <v>553</v>
      </c>
      <c r="R13" s="464"/>
      <c r="S13" s="464">
        <v>1</v>
      </c>
      <c r="T13" s="468"/>
      <c r="U13" s="468"/>
      <c r="V13" s="468"/>
      <c r="W13" s="158"/>
      <c r="X13" s="158"/>
    </row>
    <row r="14" spans="2:24" x14ac:dyDescent="0.2">
      <c r="B14" s="668"/>
      <c r="C14" s="464">
        <f>IF(D14="","",ROW(A14)-10-COUNTBLANK($D$11:D14))</f>
        <v>4</v>
      </c>
      <c r="D14" s="464" t="str">
        <f>IF(E14="","",IF(E13="",ROW($A$11)-10&amp;"."&amp;COUNTA($E$11:E14),ROW($A$11)-10-COUNTBLANK($E$11:E14)&amp;"."&amp;ROW(A14)-10))</f>
        <v>1.4</v>
      </c>
      <c r="E14" s="465" t="s">
        <v>554</v>
      </c>
      <c r="F14" s="464"/>
      <c r="G14" s="493">
        <v>2</v>
      </c>
      <c r="H14" s="468"/>
      <c r="I14" s="468"/>
      <c r="J14" s="468"/>
      <c r="K14" s="158"/>
      <c r="L14" s="158"/>
      <c r="N14" s="668"/>
      <c r="O14" s="464">
        <f>IF(P14="","",ROW(A14)-10-COUNTBLANK($P$11:P14))</f>
        <v>4</v>
      </c>
      <c r="P14" s="464" t="str">
        <f>IF(Q14="","",IF(Q13="",ROW($A$11)-10&amp;"."&amp;COUNTA($Q$11:Q14),ROW($A$11)-10-COUNTBLANK($Q$11:Q14)&amp;"."&amp;ROW(A14)-10))</f>
        <v>1.4</v>
      </c>
      <c r="Q14" s="465" t="s">
        <v>554</v>
      </c>
      <c r="R14" s="464"/>
      <c r="S14" s="464">
        <v>2</v>
      </c>
      <c r="T14" s="468"/>
      <c r="U14" s="468"/>
      <c r="V14" s="468"/>
      <c r="W14" s="158"/>
      <c r="X14" s="158"/>
    </row>
    <row r="15" spans="2:24" x14ac:dyDescent="0.2">
      <c r="B15" s="668"/>
      <c r="C15" s="464">
        <f>IF(D15="","",ROW(A15)-10-COUNTBLANK($D$11:D15))</f>
        <v>5</v>
      </c>
      <c r="D15" s="464" t="str">
        <f>IF(E15="","",IF(E14="",ROW($A$11)-10&amp;"."&amp;COUNTA($E$11:E15),ROW($A$11)-10-COUNTBLANK($E$11:E15)&amp;"."&amp;ROW(A15)-10))</f>
        <v>1.5</v>
      </c>
      <c r="E15" s="465" t="s">
        <v>555</v>
      </c>
      <c r="F15" s="464"/>
      <c r="G15" s="493">
        <v>2</v>
      </c>
      <c r="H15" s="468"/>
      <c r="I15" s="468"/>
      <c r="J15" s="468"/>
      <c r="K15" s="158"/>
      <c r="L15" s="158"/>
      <c r="N15" s="668"/>
      <c r="O15" s="464">
        <f>IF(P15="","",ROW(A15)-10-COUNTBLANK($P$11:P15))</f>
        <v>5</v>
      </c>
      <c r="P15" s="464" t="str">
        <f>IF(Q15="","",IF(Q14="",ROW($A$11)-10&amp;"."&amp;COUNTA($Q$11:Q15),ROW($A$11)-10-COUNTBLANK($Q$11:Q15)&amp;"."&amp;ROW(A15)-10))</f>
        <v>1.5</v>
      </c>
      <c r="Q15" s="465" t="s">
        <v>555</v>
      </c>
      <c r="R15" s="464"/>
      <c r="S15" s="464">
        <v>2</v>
      </c>
      <c r="T15" s="468"/>
      <c r="U15" s="468"/>
      <c r="V15" s="468"/>
      <c r="W15" s="158"/>
      <c r="X15" s="158"/>
    </row>
    <row r="16" spans="2:24" x14ac:dyDescent="0.2">
      <c r="B16" s="668"/>
      <c r="C16" s="464">
        <f>IF(D16="","",ROW(A16)-10-COUNTBLANK($D$11:D16))</f>
        <v>6</v>
      </c>
      <c r="D16" s="464" t="str">
        <f>IF(E16="","",IF(E15="",ROW($A$11)-10&amp;"."&amp;COUNTA($E$11:E16),ROW($A$11)-10-COUNTBLANK($E$11:E16)&amp;"."&amp;ROW(A16)-10))</f>
        <v>1.6</v>
      </c>
      <c r="E16" s="465" t="s">
        <v>556</v>
      </c>
      <c r="F16" s="464"/>
      <c r="G16" s="493">
        <v>2</v>
      </c>
      <c r="H16" s="468"/>
      <c r="I16" s="468"/>
      <c r="J16" s="468"/>
      <c r="K16" s="158"/>
      <c r="L16" s="158"/>
      <c r="N16" s="668"/>
      <c r="O16" s="464">
        <f>IF(P16="","",ROW(A16)-10-COUNTBLANK($P$11:P16))</f>
        <v>6</v>
      </c>
      <c r="P16" s="464" t="str">
        <f>IF(Q16="","",IF(Q15="",ROW($A$11)-10&amp;"."&amp;COUNTA($Q$11:Q16),ROW($A$11)-10-COUNTBLANK($Q$11:Q16)&amp;"."&amp;ROW(A16)-10))</f>
        <v>1.6</v>
      </c>
      <c r="Q16" s="465" t="s">
        <v>556</v>
      </c>
      <c r="R16" s="464"/>
      <c r="S16" s="464">
        <v>2</v>
      </c>
      <c r="T16" s="468"/>
      <c r="U16" s="468"/>
      <c r="V16" s="468"/>
      <c r="W16" s="158"/>
      <c r="X16" s="158"/>
    </row>
    <row r="17" spans="2:24" x14ac:dyDescent="0.2">
      <c r="B17" s="668"/>
      <c r="C17" s="464" t="str">
        <f>IF(D17="","",ROW(A17)-10-COUNTBLANK($D$11:D17))</f>
        <v/>
      </c>
      <c r="D17" s="464" t="str">
        <f>IF(E17="","",IF(E16="",ROW($A$11)-10&amp;"."&amp;COUNTA($E$11:E17),ROW($A$11)-10-COUNTBLANK($E$11:E17)&amp;"."&amp;ROW(A17)-10))</f>
        <v/>
      </c>
      <c r="E17" s="302"/>
      <c r="F17" s="464"/>
      <c r="G17" s="494"/>
      <c r="H17" s="160"/>
      <c r="I17" s="468"/>
      <c r="J17" s="468"/>
      <c r="K17" s="158"/>
      <c r="L17" s="158"/>
      <c r="N17" s="668"/>
      <c r="O17" s="464" t="e">
        <f>IF(P17="","",ROW(A17)-10-COUNTBLANK($P$11:P17))</f>
        <v>#REF!</v>
      </c>
      <c r="P17" s="464" t="e">
        <f>IF(Q17="","",IF(#REF!="",ROW($A$11)-10&amp;"."&amp;COUNTA($Q$11:Q17),ROW($A$11)-10-COUNTBLANK($Q$11:Q17)&amp;"."&amp;ROW(A17)-10))</f>
        <v>#REF!</v>
      </c>
      <c r="Q17" s="302" t="s">
        <v>558</v>
      </c>
      <c r="R17" s="464"/>
      <c r="S17" s="158"/>
      <c r="T17" s="160"/>
      <c r="U17" s="468"/>
      <c r="V17" s="468"/>
      <c r="W17" s="158"/>
      <c r="X17" s="158"/>
    </row>
    <row r="18" spans="2:24" x14ac:dyDescent="0.2">
      <c r="B18" s="670" t="s">
        <v>38</v>
      </c>
      <c r="C18" s="464">
        <f>IF(D18="","",ROW(A18)-10-COUNTBLANK($D$11:D18))</f>
        <v>7</v>
      </c>
      <c r="D18" s="464" t="str">
        <f>IF(E18="","",IF(E17="",ROW($A$11)-10&amp;"."&amp;COUNTA($E$11:E18),ROW($A$11)-10-COUNTBLANK($E$11:E18)&amp;"."&amp;ROW(A18)-10))</f>
        <v>1.7</v>
      </c>
      <c r="E18" s="490" t="s">
        <v>560</v>
      </c>
      <c r="F18" s="491">
        <v>44679</v>
      </c>
      <c r="G18" s="495" t="s">
        <v>561</v>
      </c>
      <c r="H18" s="341">
        <v>264</v>
      </c>
    </row>
    <row r="19" spans="2:24" x14ac:dyDescent="0.2">
      <c r="B19" s="671"/>
      <c r="C19" s="464">
        <f>IF(D19="","",ROW(A19)-10-COUNTBLANK($D$11:D19))</f>
        <v>8</v>
      </c>
      <c r="D19" s="464" t="str">
        <f>IF(E19="","",IF(E18="",ROW($A$11)-10&amp;"."&amp;COUNTA($E$11:E19),ROW($A$11)-10-COUNTBLANK($E$11:E19)&amp;"."&amp;ROW(A19)-10))</f>
        <v>0.9</v>
      </c>
      <c r="E19" s="490" t="s">
        <v>560</v>
      </c>
      <c r="G19" s="495" t="s">
        <v>564</v>
      </c>
      <c r="H19" s="341"/>
    </row>
    <row r="20" spans="2:24" x14ac:dyDescent="0.2">
      <c r="B20" s="671"/>
      <c r="C20" s="464">
        <f>IF(D20="","",ROW(A20)-10-COUNTBLANK($D$11:D20))</f>
        <v>9</v>
      </c>
      <c r="D20" s="464" t="str">
        <f>IF(E20="","",IF(E19="",ROW($A$11)-10&amp;"."&amp;COUNTA($E$11:E20),ROW($A$11)-10-COUNTBLANK($E$11:E20)&amp;"."&amp;ROW(A20)-10))</f>
        <v>0.10</v>
      </c>
      <c r="E20" s="490" t="s">
        <v>572</v>
      </c>
      <c r="G20" s="495">
        <v>1</v>
      </c>
      <c r="H20" s="341"/>
    </row>
    <row r="21" spans="2:24" x14ac:dyDescent="0.2">
      <c r="B21" s="671"/>
      <c r="C21" s="464">
        <f>IF(D21="","",ROW(A21)-10-COUNTBLANK($D$11:D21))</f>
        <v>10</v>
      </c>
      <c r="D21" s="464" t="str">
        <f>IF(E21="","",IF(E20="",ROW($A$11)-10&amp;"."&amp;COUNTA($E$11:E21),ROW($A$11)-10-COUNTBLANK($E$11:E21)&amp;"."&amp;ROW(A21)-10))</f>
        <v>0.11</v>
      </c>
      <c r="E21" s="490" t="s">
        <v>572</v>
      </c>
      <c r="F21" s="491">
        <v>44683</v>
      </c>
      <c r="G21" s="495">
        <v>5</v>
      </c>
      <c r="H21" s="341"/>
    </row>
    <row r="22" spans="2:24" x14ac:dyDescent="0.2">
      <c r="B22" s="671"/>
      <c r="C22" s="464">
        <f>IF(D22="","",ROW(A22)-10-COUNTBLANK($D$11:D22))</f>
        <v>11</v>
      </c>
      <c r="D22" s="464" t="str">
        <f>IF(E22="","",IF(E21="",ROW($A$11)-10&amp;"."&amp;COUNTA($E$11:E22),ROW($A$11)-10-COUNTBLANK($E$11:E22)&amp;"."&amp;ROW(A22)-10))</f>
        <v>0.12</v>
      </c>
      <c r="E22" s="490" t="s">
        <v>573</v>
      </c>
      <c r="F22" s="491">
        <v>44683</v>
      </c>
      <c r="G22" s="495">
        <v>211</v>
      </c>
      <c r="H22" s="341"/>
    </row>
    <row r="23" spans="2:24" x14ac:dyDescent="0.2">
      <c r="B23" s="671"/>
      <c r="C23" s="464" t="str">
        <f>IF(D23="","",ROW(A23)-10-COUNTBLANK($D$11:D23))</f>
        <v/>
      </c>
      <c r="D23" s="464" t="str">
        <f>IF(E23="","",IF(E22="",ROW($A$11)-10&amp;"."&amp;COUNTA($E$11:E23),ROW($A$11)-10-COUNTBLANK($E$11:E23)&amp;"."&amp;ROW(A23)-10))</f>
        <v/>
      </c>
      <c r="G23" s="495"/>
      <c r="H23" s="341"/>
    </row>
    <row r="24" spans="2:24" x14ac:dyDescent="0.2">
      <c r="B24" s="671"/>
      <c r="C24" s="464" t="str">
        <f>IF(D24="","",ROW(A24)-10-COUNTBLANK($D$11:D24))</f>
        <v/>
      </c>
      <c r="D24" s="464" t="str">
        <f>IF(E24="","",IF(E23="",ROW($A$11)-10&amp;"."&amp;COUNTA($E$11:E24),ROW($A$11)-10-COUNTBLANK($E$11:E24)&amp;"."&amp;ROW(A24)-10))</f>
        <v/>
      </c>
      <c r="G24" s="495"/>
      <c r="H24" s="341"/>
    </row>
    <row r="25" spans="2:24" x14ac:dyDescent="0.2">
      <c r="B25" s="671"/>
      <c r="C25" s="464" t="str">
        <f>IF(D25="","",ROW(A25)-10-COUNTBLANK($D$11:D25))</f>
        <v/>
      </c>
      <c r="D25" s="464" t="str">
        <f>IF(E25="","",IF(E24="",ROW($A$11)-10&amp;"."&amp;COUNTA($E$11:E25),ROW($A$11)-10-COUNTBLANK($E$11:E25)&amp;"."&amp;ROW(A25)-10))</f>
        <v/>
      </c>
      <c r="G25" s="495"/>
      <c r="H25" s="341"/>
      <c r="J25" s="507"/>
    </row>
    <row r="26" spans="2:24" x14ac:dyDescent="0.2">
      <c r="B26" s="671"/>
      <c r="C26" s="464" t="str">
        <f>IF(D26="","",ROW(A26)-10-COUNTBLANK($D$11:D26))</f>
        <v/>
      </c>
      <c r="D26" s="464" t="str">
        <f>IF(E26="","",IF(E25="",ROW($A$11)-10&amp;"."&amp;COUNTA($E$11:E26),ROW($A$11)-10-COUNTBLANK($E$11:E26)&amp;"."&amp;ROW(A26)-10))</f>
        <v/>
      </c>
      <c r="G26" s="495"/>
      <c r="H26" s="341"/>
    </row>
    <row r="27" spans="2:24" x14ac:dyDescent="0.2">
      <c r="B27" s="671"/>
      <c r="C27" s="464" t="str">
        <f>IF(D27="","",ROW(A27)-10-COUNTBLANK($D$11:D27))</f>
        <v/>
      </c>
      <c r="D27" s="464" t="str">
        <f>IF(E27="","",IF(E26="",ROW($A$11)-10&amp;"."&amp;COUNTA($E$11:E27),ROW($A$11)-10-COUNTBLANK($E$11:E27)&amp;"."&amp;ROW(A27)-10))</f>
        <v/>
      </c>
      <c r="G27" s="495"/>
      <c r="H27" s="341"/>
    </row>
    <row r="28" spans="2:24" x14ac:dyDescent="0.2">
      <c r="B28" s="671" t="s">
        <v>548</v>
      </c>
      <c r="C28" s="464">
        <f>IF(D28="","",ROW(A28)-10-COUNTBLANK($D$11:D28))</f>
        <v>12</v>
      </c>
      <c r="D28" s="464" t="str">
        <f>IF(E28="","",IF(E27="",ROW($A$11)-10&amp;"."&amp;COUNTA($E$11:E28),ROW($A$11)-10-COUNTBLANK($E$11:E28)&amp;"."&amp;ROW(A28)-10))</f>
        <v>1.12</v>
      </c>
      <c r="E28" t="s">
        <v>565</v>
      </c>
      <c r="G28" s="495"/>
      <c r="H28" s="341"/>
    </row>
    <row r="29" spans="2:24" x14ac:dyDescent="0.2">
      <c r="B29" s="671"/>
      <c r="C29" s="464">
        <f>IF(D29="","",ROW(A29)-10-COUNTBLANK($D$11:D29))</f>
        <v>13</v>
      </c>
      <c r="D29" s="464" t="str">
        <f>IF(E29="","",IF(E28="",ROW($A$11)-10&amp;"."&amp;COUNTA($E$11:E29),ROW($A$11)-10-COUNTBLANK($E$11:E29)&amp;"."&amp;ROW(A29)-10))</f>
        <v>-5.19</v>
      </c>
      <c r="E29" t="s">
        <v>566</v>
      </c>
      <c r="G29" s="495"/>
      <c r="H29" s="341"/>
    </row>
    <row r="30" spans="2:24" x14ac:dyDescent="0.2">
      <c r="B30" s="671"/>
      <c r="C30" s="464">
        <f>IF(D30="","",ROW(A30)-10-COUNTBLANK($D$11:D30))</f>
        <v>14</v>
      </c>
      <c r="D30" s="464" t="str">
        <f>IF(E30="","",IF(E29="",ROW($A$11)-10&amp;"."&amp;COUNTA($E$11:E30),ROW($A$11)-10-COUNTBLANK($E$11:E30)&amp;"."&amp;ROW(A30)-10))</f>
        <v>-5.20</v>
      </c>
      <c r="E30" t="s">
        <v>567</v>
      </c>
      <c r="G30" s="495"/>
      <c r="H30" s="341"/>
    </row>
    <row r="31" spans="2:24" x14ac:dyDescent="0.2">
      <c r="B31" s="671"/>
      <c r="C31" s="464" t="str">
        <f>IF(D31="","",ROW(A31)-10-COUNTBLANK($D$11:D31))</f>
        <v/>
      </c>
      <c r="D31" s="464" t="str">
        <f>IF(E31="","",IF(E30="",ROW($A$11)-10&amp;"."&amp;COUNTA($E$11:E31),ROW($A$11)-10-COUNTBLANK($E$11:E31)&amp;"."&amp;ROW(A31)-10))</f>
        <v/>
      </c>
      <c r="G31" s="495"/>
      <c r="H31" s="341"/>
    </row>
    <row r="32" spans="2:24" x14ac:dyDescent="0.2">
      <c r="B32" s="671"/>
      <c r="C32" s="464" t="str">
        <f>IF(D32="","",ROW(A32)-10-COUNTBLANK($D$11:D32))</f>
        <v/>
      </c>
      <c r="D32" s="464" t="str">
        <f>IF(E32="","",IF(E31="",ROW($A$11)-10&amp;"."&amp;COUNTA($E$11:E32),ROW($A$11)-10-COUNTBLANK($E$11:E32)&amp;"."&amp;ROW(A32)-10))</f>
        <v/>
      </c>
      <c r="G32" s="495"/>
      <c r="H32" s="341"/>
    </row>
    <row r="33" spans="2:8" x14ac:dyDescent="0.2">
      <c r="B33" s="671"/>
      <c r="C33" s="464" t="str">
        <f>IF(D33="","",ROW(A33)-10-COUNTBLANK($D$11:D33))</f>
        <v/>
      </c>
      <c r="D33" s="464" t="str">
        <f>IF(E33="","",IF(E32="",ROW($A$11)-10&amp;"."&amp;COUNTA($E$11:E33),ROW($A$11)-10-COUNTBLANK($E$11:E33)&amp;"."&amp;ROW(A33)-10))</f>
        <v/>
      </c>
      <c r="G33" s="495"/>
      <c r="H33" s="341"/>
    </row>
    <row r="34" spans="2:8" x14ac:dyDescent="0.2">
      <c r="B34" s="671"/>
      <c r="C34" s="464" t="str">
        <f>IF(D34="","",ROW(A34)-10-COUNTBLANK($D$11:D34))</f>
        <v/>
      </c>
      <c r="D34" s="464" t="str">
        <f>IF(E34="","",IF(E33="",ROW($A$11)-10&amp;"."&amp;COUNTA($E$11:E34),ROW($A$11)-10-COUNTBLANK($E$11:E34)&amp;"."&amp;ROW(A34)-10))</f>
        <v/>
      </c>
      <c r="H34" s="341"/>
    </row>
    <row r="35" spans="2:8" x14ac:dyDescent="0.2">
      <c r="B35" s="671"/>
      <c r="C35" s="464" t="str">
        <f>IF(D35="","",ROW(A35)-10-COUNTBLANK($D$11:D35))</f>
        <v/>
      </c>
      <c r="D35" s="464" t="str">
        <f>IF(E35="","",IF(E34="",ROW($A$11)-10&amp;"."&amp;COUNTA($E$11:E35),ROW($A$11)-10-COUNTBLANK($E$11:E35)&amp;"."&amp;ROW(A35)-10))</f>
        <v/>
      </c>
      <c r="H35" s="341"/>
    </row>
    <row r="36" spans="2:8" x14ac:dyDescent="0.2">
      <c r="B36" s="671"/>
      <c r="C36" s="464" t="str">
        <f>IF(D36="","",ROW(A36)-10-COUNTBLANK($D$11:D36))</f>
        <v/>
      </c>
      <c r="D36" s="464" t="str">
        <f>IF(E36="","",IF(E35="",ROW($A$11)-10&amp;"."&amp;COUNTA($E$11:E36),ROW($A$11)-10-COUNTBLANK($E$11:E36)&amp;"."&amp;ROW(A36)-10))</f>
        <v/>
      </c>
      <c r="H36" s="341"/>
    </row>
    <row r="37" spans="2:8" x14ac:dyDescent="0.2">
      <c r="B37" s="671"/>
      <c r="C37" s="464" t="str">
        <f>IF(D37="","",ROW(A37)-10-COUNTBLANK($D$11:D37))</f>
        <v/>
      </c>
      <c r="D37" s="464" t="str">
        <f>IF(E37="","",IF(E36="",ROW($A$11)-10&amp;"."&amp;COUNTA($E$11:E37),ROW($A$11)-10-COUNTBLANK($E$11:E37)&amp;"."&amp;ROW(A37)-10))</f>
        <v/>
      </c>
      <c r="H37" s="341"/>
    </row>
    <row r="38" spans="2:8" x14ac:dyDescent="0.2">
      <c r="B38" s="671" t="s">
        <v>562</v>
      </c>
      <c r="C38" s="464">
        <f>IF(D38="","",ROW(A38)-10-COUNTBLANK($D$11:D38))</f>
        <v>15</v>
      </c>
      <c r="D38" s="464" t="str">
        <f>IF(E38="","",IF(E37="",ROW($A$11)-10&amp;"."&amp;COUNTA($E$11:E38),ROW($A$11)-10-COUNTBLANK($E$11:E38)&amp;"."&amp;ROW(A38)-10))</f>
        <v>1.15</v>
      </c>
      <c r="E38" t="s">
        <v>563</v>
      </c>
      <c r="H38" s="341"/>
    </row>
    <row r="39" spans="2:8" x14ac:dyDescent="0.2">
      <c r="B39" s="671"/>
      <c r="C39" s="464" t="str">
        <f>IF(D39="","",ROW(A39)-10-COUNTBLANK($D$11:D39))</f>
        <v/>
      </c>
      <c r="D39" s="464" t="str">
        <f>IF(E39="","",IF(E38="",ROW($A$11)-10&amp;"."&amp;COUNTA($E$11:E39),ROW($A$11)-10-COUNTBLANK($E$11:E39)&amp;"."&amp;ROW(A39)-10))</f>
        <v/>
      </c>
    </row>
    <row r="40" spans="2:8" x14ac:dyDescent="0.2">
      <c r="B40" s="671"/>
      <c r="C40" s="464" t="str">
        <f>IF(D40="","",ROW(A40)-10-COUNTBLANK($D$11:D40))</f>
        <v/>
      </c>
      <c r="D40" s="464" t="str">
        <f>IF(E40="","",IF(E39="",ROW($A$11)-10&amp;"."&amp;COUNTA($E$11:E40),ROW($A$11)-10-COUNTBLANK($E$11:E40)&amp;"."&amp;ROW(A40)-10))</f>
        <v/>
      </c>
    </row>
    <row r="41" spans="2:8" x14ac:dyDescent="0.2">
      <c r="B41" s="671"/>
      <c r="C41" s="464" t="str">
        <f>IF(D41="","",ROW(A41)-10-COUNTBLANK($D$11:D41))</f>
        <v/>
      </c>
      <c r="D41" s="464" t="str">
        <f>IF(E41="","",IF(E40="",ROW($A$11)-10&amp;"."&amp;COUNTA($E$11:E41),ROW($A$11)-10-COUNTBLANK($E$11:E41)&amp;"."&amp;ROW(A41)-10))</f>
        <v/>
      </c>
    </row>
    <row r="42" spans="2:8" x14ac:dyDescent="0.2">
      <c r="B42" s="671"/>
      <c r="C42" s="464" t="str">
        <f>IF(D42="","",ROW(A42)-10-COUNTBLANK($D$11:D42))</f>
        <v/>
      </c>
      <c r="D42" s="464" t="str">
        <f>IF(E42="","",IF(E41="",ROW($A$11)-10&amp;"."&amp;COUNTA($E$11:E42),ROW($A$11)-10-COUNTBLANK($E$11:E42)&amp;"."&amp;ROW(A42)-10))</f>
        <v/>
      </c>
    </row>
    <row r="43" spans="2:8" x14ac:dyDescent="0.2">
      <c r="B43" s="671"/>
      <c r="C43" s="464" t="str">
        <f>IF(D43="","",ROW(A43)-10-COUNTBLANK($D$11:D43))</f>
        <v/>
      </c>
      <c r="D43" s="464" t="str">
        <f>IF(E43="","",IF(E42="",ROW($A$11)-10&amp;"."&amp;COUNTA($E$11:E43),ROW($A$11)-10-COUNTBLANK($E$11:E43)&amp;"."&amp;ROW(A43)-10))</f>
        <v/>
      </c>
    </row>
    <row r="44" spans="2:8" x14ac:dyDescent="0.2">
      <c r="B44" s="671"/>
      <c r="C44" s="464" t="str">
        <f>IF(D44="","",ROW(A44)-10-COUNTBLANK($D$11:D44))</f>
        <v/>
      </c>
      <c r="D44" s="464" t="str">
        <f>IF(E44="","",IF(E43="",ROW($A$11)-10&amp;"."&amp;COUNTA($E$11:E44),ROW($A$11)-10-COUNTBLANK($E$11:E44)&amp;"."&amp;ROW(A44)-10))</f>
        <v/>
      </c>
    </row>
    <row r="45" spans="2:8" x14ac:dyDescent="0.2">
      <c r="B45" s="669"/>
    </row>
    <row r="46" spans="2:8" x14ac:dyDescent="0.2">
      <c r="B46" s="669"/>
    </row>
    <row r="47" spans="2:8" x14ac:dyDescent="0.2">
      <c r="B47" s="669"/>
    </row>
    <row r="48" spans="2:8" x14ac:dyDescent="0.2">
      <c r="B48" s="669"/>
    </row>
    <row r="49" spans="2:2" x14ac:dyDescent="0.2">
      <c r="B49" s="669"/>
    </row>
    <row r="50" spans="2:2" x14ac:dyDescent="0.2">
      <c r="B50" s="669"/>
    </row>
  </sheetData>
  <mergeCells count="24">
    <mergeCell ref="Q8:X8"/>
    <mergeCell ref="O9:P9"/>
    <mergeCell ref="C9:D9"/>
    <mergeCell ref="N4:X4"/>
    <mergeCell ref="N5:X5"/>
    <mergeCell ref="N6:X6"/>
    <mergeCell ref="O7:P7"/>
    <mergeCell ref="Q7:X7"/>
    <mergeCell ref="O8:P8"/>
    <mergeCell ref="N7:N10"/>
    <mergeCell ref="B4:L4"/>
    <mergeCell ref="B5:L5"/>
    <mergeCell ref="E7:L7"/>
    <mergeCell ref="E8:L8"/>
    <mergeCell ref="B6:L6"/>
    <mergeCell ref="B7:B10"/>
    <mergeCell ref="C7:D7"/>
    <mergeCell ref="C8:D8"/>
    <mergeCell ref="N11:N17"/>
    <mergeCell ref="B45:B50"/>
    <mergeCell ref="B18:B27"/>
    <mergeCell ref="B28:B37"/>
    <mergeCell ref="B38:B44"/>
    <mergeCell ref="B11:B1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47"/>
  <sheetViews>
    <sheetView topLeftCell="B1" zoomScale="95" zoomScaleNormal="95" workbookViewId="0">
      <pane xSplit="1" ySplit="8" topLeftCell="C39" activePane="bottomRight" state="frozen"/>
      <selection activeCell="B1" sqref="B1"/>
      <selection pane="topRight" activeCell="C1" sqref="C1"/>
      <selection pane="bottomLeft" activeCell="B9" sqref="B9"/>
      <selection pane="bottomRight" activeCell="L7" sqref="L7"/>
    </sheetView>
  </sheetViews>
  <sheetFormatPr defaultRowHeight="12.75" x14ac:dyDescent="0.2"/>
  <cols>
    <col min="2" max="2" width="12.85546875" customWidth="1"/>
    <col min="3" max="3" width="11.5703125" bestFit="1" customWidth="1"/>
    <col min="4" max="4" width="12.7109375" bestFit="1" customWidth="1"/>
    <col min="6" max="6" width="14.28515625" bestFit="1" customWidth="1"/>
    <col min="8" max="8" width="12" bestFit="1" customWidth="1"/>
    <col min="9" max="9" width="11.42578125" bestFit="1" customWidth="1"/>
    <col min="11" max="11" width="12.85546875" customWidth="1"/>
    <col min="12" max="12" width="11.5703125" bestFit="1" customWidth="1"/>
    <col min="13" max="13" width="12.7109375" bestFit="1" customWidth="1"/>
    <col min="15" max="15" width="14.28515625" bestFit="1" customWidth="1"/>
    <col min="17" max="17" width="12" bestFit="1" customWidth="1"/>
    <col min="18" max="18" width="11.42578125" bestFit="1" customWidth="1"/>
  </cols>
  <sheetData>
    <row r="1" spans="2:18" ht="13.5" thickBot="1" x14ac:dyDescent="0.25"/>
    <row r="2" spans="2:18" x14ac:dyDescent="0.2">
      <c r="B2" s="685" t="s">
        <v>322</v>
      </c>
      <c r="C2" s="686"/>
      <c r="D2" s="686"/>
      <c r="E2" s="686"/>
      <c r="F2" s="686"/>
      <c r="G2" s="686"/>
      <c r="H2" s="686"/>
      <c r="I2" s="687"/>
      <c r="K2" s="685" t="s">
        <v>322</v>
      </c>
      <c r="L2" s="686"/>
      <c r="M2" s="686"/>
      <c r="N2" s="686"/>
      <c r="O2" s="686"/>
      <c r="P2" s="686"/>
      <c r="Q2" s="686"/>
      <c r="R2" s="687"/>
    </row>
    <row r="3" spans="2:18" x14ac:dyDescent="0.2">
      <c r="B3" s="691" t="s">
        <v>621</v>
      </c>
      <c r="C3" s="678"/>
      <c r="D3" s="678"/>
      <c r="E3" s="678"/>
      <c r="F3" s="678"/>
      <c r="G3" s="678"/>
      <c r="H3" s="678"/>
      <c r="I3" s="692"/>
      <c r="K3" s="691" t="s">
        <v>622</v>
      </c>
      <c r="L3" s="678"/>
      <c r="M3" s="678"/>
      <c r="N3" s="678"/>
      <c r="O3" s="678"/>
      <c r="P3" s="678"/>
      <c r="Q3" s="678"/>
      <c r="R3" s="692"/>
    </row>
    <row r="4" spans="2:18" x14ac:dyDescent="0.2">
      <c r="B4" s="693"/>
      <c r="C4" s="694"/>
      <c r="D4" s="694"/>
      <c r="E4" s="694"/>
      <c r="F4" s="694"/>
      <c r="G4" s="694"/>
      <c r="H4" s="694"/>
      <c r="I4" s="695"/>
      <c r="K4" s="693"/>
      <c r="L4" s="694"/>
      <c r="M4" s="694"/>
      <c r="N4" s="694"/>
      <c r="O4" s="694"/>
      <c r="P4" s="694"/>
      <c r="Q4" s="694"/>
      <c r="R4" s="695"/>
    </row>
    <row r="5" spans="2:18" x14ac:dyDescent="0.2">
      <c r="B5" s="512" t="s">
        <v>320</v>
      </c>
      <c r="C5" s="696" t="str">
        <f>CUST_Geral_M_OBRA!$D$6</f>
        <v>Reforma de imóvel em Jacarepaguá</v>
      </c>
      <c r="D5" s="696"/>
      <c r="E5" s="696"/>
      <c r="F5" s="696"/>
      <c r="G5" s="696"/>
      <c r="H5" s="696"/>
      <c r="I5" s="697"/>
      <c r="K5" s="512" t="s">
        <v>320</v>
      </c>
      <c r="L5" s="696" t="str">
        <f>CUST_Geral_M_OBRA!$D$6</f>
        <v>Reforma de imóvel em Jacarepaguá</v>
      </c>
      <c r="M5" s="696"/>
      <c r="N5" s="696"/>
      <c r="O5" s="696"/>
      <c r="P5" s="696"/>
      <c r="Q5" s="696"/>
      <c r="R5" s="697"/>
    </row>
    <row r="6" spans="2:18" x14ac:dyDescent="0.2">
      <c r="B6" s="512" t="s">
        <v>321</v>
      </c>
      <c r="C6" s="698" t="str">
        <f>CUST_Geral_M_OBRA!$D$7</f>
        <v>Rua Cassiopeia, n° 86, Taquara - RJ</v>
      </c>
      <c r="D6" s="698"/>
      <c r="E6" s="698"/>
      <c r="F6" s="698"/>
      <c r="G6" s="698"/>
      <c r="H6" s="698"/>
      <c r="I6" s="699"/>
      <c r="K6" s="512" t="s">
        <v>321</v>
      </c>
      <c r="L6" s="698" t="str">
        <f>CUST_Geral_M_OBRA!$D$7</f>
        <v>Rua Cassiopeia, n° 86, Taquara - RJ</v>
      </c>
      <c r="M6" s="698"/>
      <c r="N6" s="698"/>
      <c r="O6" s="698"/>
      <c r="P6" s="698"/>
      <c r="Q6" s="698"/>
      <c r="R6" s="699"/>
    </row>
    <row r="7" spans="2:18" x14ac:dyDescent="0.2">
      <c r="B7" s="513" t="s">
        <v>616</v>
      </c>
      <c r="C7" s="508">
        <v>44670</v>
      </c>
      <c r="D7" s="509"/>
      <c r="E7" s="504"/>
      <c r="F7" s="504"/>
      <c r="G7" s="504"/>
      <c r="H7" s="504"/>
      <c r="I7" s="510"/>
      <c r="K7" s="513" t="s">
        <v>616</v>
      </c>
      <c r="L7" s="508">
        <v>44670</v>
      </c>
      <c r="M7" s="509"/>
      <c r="N7" s="504"/>
      <c r="O7" s="504"/>
      <c r="P7" s="504"/>
      <c r="Q7" s="504"/>
      <c r="R7" s="510"/>
    </row>
    <row r="8" spans="2:18" ht="13.5" thickBot="1" x14ac:dyDescent="0.25">
      <c r="B8" s="515" t="s">
        <v>316</v>
      </c>
      <c r="C8" s="516" t="s">
        <v>515</v>
      </c>
      <c r="D8" s="516" t="s">
        <v>359</v>
      </c>
      <c r="E8" s="506" t="s">
        <v>317</v>
      </c>
      <c r="F8" s="516" t="s">
        <v>542</v>
      </c>
      <c r="G8" s="516" t="s">
        <v>513</v>
      </c>
      <c r="H8" s="516" t="s">
        <v>615</v>
      </c>
      <c r="I8" s="485" t="s">
        <v>318</v>
      </c>
      <c r="K8" s="515" t="s">
        <v>316</v>
      </c>
      <c r="L8" s="516" t="s">
        <v>515</v>
      </c>
      <c r="M8" s="516" t="s">
        <v>359</v>
      </c>
      <c r="N8" s="506" t="s">
        <v>317</v>
      </c>
      <c r="O8" s="516" t="s">
        <v>542</v>
      </c>
      <c r="P8" s="516" t="s">
        <v>513</v>
      </c>
      <c r="Q8" s="516" t="s">
        <v>615</v>
      </c>
      <c r="R8" s="485" t="s">
        <v>318</v>
      </c>
    </row>
    <row r="10" spans="2:18" x14ac:dyDescent="0.2">
      <c r="B10" s="688" t="s">
        <v>617</v>
      </c>
      <c r="C10" s="689"/>
      <c r="D10" s="689"/>
      <c r="E10" s="689"/>
      <c r="F10" s="689"/>
      <c r="G10" s="689"/>
      <c r="H10" s="689"/>
      <c r="I10" s="690"/>
      <c r="K10" s="688" t="s">
        <v>617</v>
      </c>
      <c r="L10" s="689"/>
      <c r="M10" s="689"/>
      <c r="N10" s="689"/>
      <c r="O10" s="689"/>
      <c r="P10" s="689"/>
      <c r="Q10" s="689"/>
      <c r="R10" s="690"/>
    </row>
    <row r="11" spans="2:18" x14ac:dyDescent="0.2">
      <c r="B11" s="514">
        <f>IF(D11="","",ROW(A1)-COUNTBLANK($D$11:D11))</f>
        <v>1</v>
      </c>
      <c r="C11" s="511">
        <v>44679</v>
      </c>
      <c r="D11" s="146">
        <v>7</v>
      </c>
      <c r="E11" s="503" t="s">
        <v>299</v>
      </c>
      <c r="F11" s="146"/>
      <c r="G11" s="146"/>
      <c r="H11" s="146"/>
      <c r="I11" s="148"/>
      <c r="K11" s="514" t="str">
        <f>IF(M11="","",ROW(J1)-COUNTBLANK($D$11:M11))</f>
        <v/>
      </c>
      <c r="L11" s="511"/>
      <c r="M11" s="146"/>
      <c r="N11" s="503" t="s">
        <v>299</v>
      </c>
      <c r="O11" s="146"/>
      <c r="P11" s="146"/>
      <c r="Q11" s="146"/>
      <c r="R11" s="148"/>
    </row>
    <row r="12" spans="2:18" x14ac:dyDescent="0.2">
      <c r="B12" s="505" t="str">
        <f>IF(D12="","",ROW(A2)-COUNTBLANK($D$11:D12))</f>
        <v/>
      </c>
      <c r="C12" s="146"/>
      <c r="D12" s="146"/>
      <c r="E12" s="146"/>
      <c r="F12" s="146"/>
      <c r="G12" s="146"/>
      <c r="H12" s="146"/>
      <c r="I12" s="148"/>
      <c r="K12" s="505" t="str">
        <f>IF(M12="","",ROW(J2)-COUNTBLANK($D$11:M12))</f>
        <v/>
      </c>
      <c r="L12" s="146"/>
      <c r="M12" s="146"/>
      <c r="N12" s="146"/>
      <c r="O12" s="146"/>
      <c r="P12" s="146"/>
      <c r="Q12" s="146"/>
      <c r="R12" s="148"/>
    </row>
    <row r="13" spans="2:18" x14ac:dyDescent="0.2">
      <c r="B13" s="505" t="str">
        <f>IF(D13="","",ROW(A3)-COUNTBLANK($D$11:D13))</f>
        <v/>
      </c>
      <c r="C13" s="146"/>
      <c r="D13" s="146"/>
      <c r="E13" s="146"/>
      <c r="F13" s="146"/>
      <c r="G13" s="146"/>
      <c r="H13" s="146"/>
      <c r="I13" s="148"/>
      <c r="K13" s="505" t="str">
        <f>IF(M13="","",ROW(J3)-COUNTBLANK($D$11:M13))</f>
        <v/>
      </c>
      <c r="L13" s="146"/>
      <c r="M13" s="146"/>
      <c r="N13" s="146"/>
      <c r="O13" s="146"/>
      <c r="P13" s="146"/>
      <c r="Q13" s="146"/>
      <c r="R13" s="148"/>
    </row>
    <row r="14" spans="2:18" x14ac:dyDescent="0.2">
      <c r="B14" s="505">
        <f>IF(D14="","",ROW(A4)-COUNTBLANK($D$11:D14))</f>
        <v>2</v>
      </c>
      <c r="C14" s="511">
        <v>44683</v>
      </c>
      <c r="D14" s="146">
        <v>5</v>
      </c>
      <c r="E14" s="146"/>
      <c r="F14" s="146"/>
      <c r="G14" s="146"/>
      <c r="H14" s="146"/>
      <c r="I14" s="148"/>
      <c r="K14" s="505" t="str">
        <f>IF(M14="","",ROW(J4)-COUNTBLANK($D$11:M14))</f>
        <v/>
      </c>
      <c r="L14" s="511"/>
      <c r="M14" s="146"/>
      <c r="N14" s="146"/>
      <c r="O14" s="146"/>
      <c r="P14" s="146"/>
      <c r="Q14" s="146"/>
      <c r="R14" s="148"/>
    </row>
    <row r="15" spans="2:18" x14ac:dyDescent="0.2">
      <c r="B15" s="505" t="str">
        <f>IF(D15="","",ROW(A5)-COUNTBLANK($D$11:D15))</f>
        <v/>
      </c>
      <c r="C15" s="146"/>
      <c r="D15" s="146"/>
      <c r="E15" s="146"/>
      <c r="F15" s="146"/>
      <c r="G15" s="146"/>
      <c r="H15" s="146"/>
      <c r="I15" s="148"/>
      <c r="K15" s="505" t="str">
        <f>IF(M15="","",ROW(J5)-COUNTBLANK($D$11:M15))</f>
        <v/>
      </c>
      <c r="L15" s="146"/>
      <c r="M15" s="146"/>
      <c r="N15" s="146"/>
      <c r="O15" s="146"/>
      <c r="P15" s="146"/>
      <c r="Q15" s="146"/>
      <c r="R15" s="148"/>
    </row>
    <row r="16" spans="2:18" x14ac:dyDescent="0.2">
      <c r="B16" s="505" t="str">
        <f>IF(D16="","",ROW(A6)-COUNTBLANK($D$11:D16))</f>
        <v/>
      </c>
      <c r="C16" s="146"/>
      <c r="D16" s="146"/>
      <c r="E16" s="146"/>
      <c r="F16" s="146"/>
      <c r="G16" s="146"/>
      <c r="H16" s="146"/>
      <c r="I16" s="148"/>
      <c r="K16" s="505" t="str">
        <f>IF(M16="","",ROW(J6)-COUNTBLANK($D$11:M16))</f>
        <v/>
      </c>
      <c r="L16" s="146"/>
      <c r="M16" s="146"/>
      <c r="N16" s="146"/>
      <c r="O16" s="146"/>
      <c r="P16" s="146"/>
      <c r="Q16" s="146"/>
      <c r="R16" s="148"/>
    </row>
    <row r="17" spans="2:18" x14ac:dyDescent="0.2">
      <c r="B17" s="505" t="str">
        <f>IF(D17="","",ROW(A7)-COUNTBLANK($D$11:D17))</f>
        <v/>
      </c>
      <c r="C17" s="146"/>
      <c r="D17" s="146"/>
      <c r="E17" s="146"/>
      <c r="F17" s="146"/>
      <c r="G17" s="146"/>
      <c r="H17" s="146"/>
      <c r="I17" s="148"/>
      <c r="K17" s="505" t="str">
        <f>IF(M17="","",ROW(J7)-COUNTBLANK($D$11:M17))</f>
        <v/>
      </c>
      <c r="L17" s="146"/>
      <c r="M17" s="146"/>
      <c r="N17" s="146"/>
      <c r="O17" s="146"/>
      <c r="P17" s="146"/>
      <c r="Q17" s="146"/>
      <c r="R17" s="148"/>
    </row>
    <row r="18" spans="2:18" x14ac:dyDescent="0.2">
      <c r="B18" s="505" t="str">
        <f>IF(D18="","",ROW(A8)-COUNTBLANK($D$11:D18))</f>
        <v/>
      </c>
      <c r="C18" s="146"/>
      <c r="D18" s="146"/>
      <c r="E18" s="146"/>
      <c r="F18" s="146"/>
      <c r="G18" s="146"/>
      <c r="H18" s="146"/>
      <c r="I18" s="148"/>
      <c r="K18" s="505" t="str">
        <f>IF(M18="","",ROW(J8)-COUNTBLANK($D$11:M18))</f>
        <v/>
      </c>
      <c r="L18" s="146"/>
      <c r="M18" s="146"/>
      <c r="N18" s="146"/>
      <c r="O18" s="146"/>
      <c r="P18" s="146"/>
      <c r="Q18" s="146"/>
      <c r="R18" s="148"/>
    </row>
    <row r="19" spans="2:18" x14ac:dyDescent="0.2">
      <c r="B19" s="505" t="str">
        <f>IF(D19="","",ROW(A11)-COUNTBLANK($D$11:D19))</f>
        <v/>
      </c>
      <c r="C19" s="146"/>
      <c r="D19" s="146"/>
      <c r="E19" s="146"/>
      <c r="F19" s="146"/>
      <c r="G19" s="146"/>
      <c r="H19" s="146"/>
      <c r="I19" s="148"/>
      <c r="K19" s="505" t="str">
        <f>IF(M19="","",ROW(J11)-COUNTBLANK($D$11:M19))</f>
        <v/>
      </c>
      <c r="L19" s="146"/>
      <c r="M19" s="146"/>
      <c r="N19" s="146"/>
      <c r="O19" s="146"/>
      <c r="P19" s="146"/>
      <c r="Q19" s="146"/>
      <c r="R19" s="148"/>
    </row>
    <row r="20" spans="2:18" x14ac:dyDescent="0.2">
      <c r="B20" s="505" t="str">
        <f>IF(D20="","",ROW(A12)-COUNTBLANK($D$11:D20))</f>
        <v/>
      </c>
      <c r="C20" s="146"/>
      <c r="D20" s="146"/>
      <c r="E20" s="146"/>
      <c r="F20" s="146"/>
      <c r="G20" s="146"/>
      <c r="H20" s="146"/>
      <c r="I20" s="148"/>
      <c r="K20" s="505" t="str">
        <f>IF(M20="","",ROW(J12)-COUNTBLANK($D$11:M20))</f>
        <v/>
      </c>
      <c r="L20" s="146"/>
      <c r="M20" s="146"/>
      <c r="N20" s="146"/>
      <c r="O20" s="146"/>
      <c r="P20" s="146"/>
      <c r="Q20" s="146"/>
      <c r="R20" s="148"/>
    </row>
    <row r="21" spans="2:18" x14ac:dyDescent="0.2">
      <c r="B21" s="505" t="str">
        <f>IF(D21="","",ROW(A13)-COUNTBLANK($D$11:D21))</f>
        <v/>
      </c>
      <c r="C21" s="146"/>
      <c r="D21" s="146"/>
      <c r="E21" s="146"/>
      <c r="F21" s="146"/>
      <c r="G21" s="146"/>
      <c r="H21" s="146"/>
      <c r="I21" s="148"/>
      <c r="K21" s="505" t="str">
        <f>IF(M21="","",ROW(J13)-COUNTBLANK($D$11:M21))</f>
        <v/>
      </c>
      <c r="L21" s="146"/>
      <c r="M21" s="146"/>
      <c r="N21" s="146"/>
      <c r="O21" s="146"/>
      <c r="P21" s="146"/>
      <c r="Q21" s="146"/>
      <c r="R21" s="148"/>
    </row>
    <row r="22" spans="2:18" x14ac:dyDescent="0.2">
      <c r="B22" s="505" t="str">
        <f>IF(D22="","",ROW(A14)-COUNTBLANK($D$11:D22))</f>
        <v/>
      </c>
      <c r="C22" s="146"/>
      <c r="D22" s="146"/>
      <c r="E22" s="146"/>
      <c r="F22" s="146"/>
      <c r="G22" s="146"/>
      <c r="H22" s="146"/>
      <c r="I22" s="148"/>
      <c r="K22" s="505" t="str">
        <f>IF(M22="","",ROW(J14)-COUNTBLANK($D$11:M22))</f>
        <v/>
      </c>
      <c r="L22" s="146"/>
      <c r="M22" s="146"/>
      <c r="N22" s="146"/>
      <c r="O22" s="146"/>
      <c r="P22" s="146"/>
      <c r="Q22" s="146"/>
      <c r="R22" s="148"/>
    </row>
    <row r="23" spans="2:18" x14ac:dyDescent="0.2">
      <c r="B23" s="505" t="str">
        <f>IF(D23="","",ROW(A15)-COUNTBLANK($D$11:D23))</f>
        <v/>
      </c>
      <c r="C23" s="146"/>
      <c r="D23" s="146"/>
      <c r="E23" s="146"/>
      <c r="F23" s="146"/>
      <c r="G23" s="146"/>
      <c r="H23" s="146"/>
      <c r="I23" s="148"/>
      <c r="K23" s="505" t="str">
        <f>IF(M23="","",ROW(J15)-COUNTBLANK($D$11:M23))</f>
        <v/>
      </c>
      <c r="L23" s="146"/>
      <c r="M23" s="146"/>
      <c r="N23" s="146"/>
      <c r="O23" s="146"/>
      <c r="P23" s="146"/>
      <c r="Q23" s="146"/>
      <c r="R23" s="148"/>
    </row>
    <row r="24" spans="2:18" x14ac:dyDescent="0.2">
      <c r="B24" s="505" t="str">
        <f>IF(D24="","",ROW(A16)-COUNTBLANK($D$11:D24))</f>
        <v/>
      </c>
      <c r="C24" s="146"/>
      <c r="D24" s="146"/>
      <c r="E24" s="146"/>
      <c r="F24" s="146"/>
      <c r="G24" s="146"/>
      <c r="H24" s="146"/>
      <c r="I24" s="148"/>
      <c r="K24" s="505" t="str">
        <f>IF(M24="","",ROW(J16)-COUNTBLANK($D$11:M24))</f>
        <v/>
      </c>
      <c r="L24" s="146"/>
      <c r="M24" s="146"/>
      <c r="N24" s="146"/>
      <c r="O24" s="146"/>
      <c r="P24" s="146"/>
      <c r="Q24" s="146"/>
      <c r="R24" s="148"/>
    </row>
    <row r="25" spans="2:18" x14ac:dyDescent="0.2">
      <c r="B25" s="505" t="str">
        <f>IF(D25="","",ROW(A17)-COUNTBLANK($D$11:D25))</f>
        <v/>
      </c>
      <c r="C25" s="146"/>
      <c r="D25" s="146"/>
      <c r="E25" s="146"/>
      <c r="F25" s="146"/>
      <c r="G25" s="146"/>
      <c r="H25" s="146"/>
      <c r="I25" s="148"/>
      <c r="K25" s="505" t="str">
        <f>IF(M25="","",ROW(J17)-COUNTBLANK($D$11:M25))</f>
        <v/>
      </c>
      <c r="L25" s="146"/>
      <c r="M25" s="146"/>
      <c r="N25" s="146"/>
      <c r="O25" s="146"/>
      <c r="P25" s="146"/>
      <c r="Q25" s="146"/>
      <c r="R25" s="148"/>
    </row>
    <row r="26" spans="2:18" x14ac:dyDescent="0.2">
      <c r="B26" s="505" t="str">
        <f>IF(D26="","",ROW(A18)-COUNTBLANK($D$11:D26))</f>
        <v/>
      </c>
      <c r="C26" s="146"/>
      <c r="D26" s="146"/>
      <c r="E26" s="146"/>
      <c r="F26" s="146"/>
      <c r="G26" s="146"/>
      <c r="H26" s="146"/>
      <c r="I26" s="148"/>
      <c r="K26" s="505" t="str">
        <f>IF(M26="","",ROW(J18)-COUNTBLANK($D$11:M26))</f>
        <v/>
      </c>
      <c r="L26" s="146"/>
      <c r="M26" s="146"/>
      <c r="N26" s="146"/>
      <c r="O26" s="146"/>
      <c r="P26" s="146"/>
      <c r="Q26" s="146"/>
      <c r="R26" s="148"/>
    </row>
    <row r="27" spans="2:18" x14ac:dyDescent="0.2">
      <c r="B27" s="505" t="str">
        <f>IF(D27="","",ROW(A19)-COUNTBLANK($D$11:D27))</f>
        <v/>
      </c>
      <c r="C27" s="146"/>
      <c r="D27" s="146"/>
      <c r="E27" s="146"/>
      <c r="F27" s="146"/>
      <c r="G27" s="146"/>
      <c r="H27" s="146"/>
      <c r="I27" s="148"/>
      <c r="K27" s="505" t="str">
        <f>IF(M27="","",ROW(J19)-COUNTBLANK($D$11:M27))</f>
        <v/>
      </c>
      <c r="L27" s="146"/>
      <c r="M27" s="146"/>
      <c r="N27" s="146"/>
      <c r="O27" s="146"/>
      <c r="P27" s="146"/>
      <c r="Q27" s="146"/>
      <c r="R27" s="148"/>
    </row>
    <row r="28" spans="2:18" x14ac:dyDescent="0.2">
      <c r="B28" s="505" t="str">
        <f>IF(D28="","",ROW(A20)-COUNTBLANK($D$11:D28))</f>
        <v/>
      </c>
      <c r="C28" s="146"/>
      <c r="D28" s="146"/>
      <c r="E28" s="146"/>
      <c r="F28" s="146"/>
      <c r="G28" s="146"/>
      <c r="H28" s="146"/>
      <c r="I28" s="148"/>
      <c r="K28" s="505" t="str">
        <f>IF(M28="","",ROW(J20)-COUNTBLANK($D$11:M28))</f>
        <v/>
      </c>
      <c r="L28" s="146"/>
      <c r="M28" s="146"/>
      <c r="N28" s="146"/>
      <c r="O28" s="146"/>
      <c r="P28" s="146"/>
      <c r="Q28" s="146"/>
      <c r="R28" s="148"/>
    </row>
    <row r="29" spans="2:18" x14ac:dyDescent="0.2">
      <c r="B29" s="505" t="str">
        <f>IF(D29="","",ROW(A21)-COUNTBLANK($D$11:D29))</f>
        <v/>
      </c>
      <c r="C29" s="146"/>
      <c r="D29" s="146"/>
      <c r="E29" s="146"/>
      <c r="F29" s="146"/>
      <c r="G29" s="146"/>
      <c r="H29" s="146"/>
      <c r="I29" s="148"/>
      <c r="K29" s="505" t="str">
        <f>IF(M29="","",ROW(J21)-COUNTBLANK($D$11:M29))</f>
        <v/>
      </c>
      <c r="L29" s="146"/>
      <c r="M29" s="146"/>
      <c r="N29" s="146"/>
      <c r="O29" s="146"/>
      <c r="P29" s="146"/>
      <c r="Q29" s="146"/>
      <c r="R29" s="148"/>
    </row>
    <row r="30" spans="2:18" x14ac:dyDescent="0.2">
      <c r="B30" s="505" t="str">
        <f>IF(D30="","",ROW(A22)-COUNTBLANK($D$11:D30))</f>
        <v/>
      </c>
      <c r="C30" s="146"/>
      <c r="D30" s="146"/>
      <c r="E30" s="146"/>
      <c r="F30" s="146"/>
      <c r="G30" s="146"/>
      <c r="H30" s="146"/>
      <c r="I30" s="148"/>
      <c r="K30" s="505" t="str">
        <f>IF(M30="","",ROW(J22)-COUNTBLANK($D$11:M30))</f>
        <v/>
      </c>
      <c r="L30" s="146"/>
      <c r="M30" s="146"/>
      <c r="N30" s="146"/>
      <c r="O30" s="146"/>
      <c r="P30" s="146"/>
      <c r="Q30" s="146"/>
      <c r="R30" s="148"/>
    </row>
    <row r="31" spans="2:18" x14ac:dyDescent="0.2">
      <c r="B31" s="505" t="str">
        <f>IF(D31="","",ROW(A23)-COUNTBLANK($D$11:D31))</f>
        <v/>
      </c>
      <c r="C31" s="146"/>
      <c r="D31" s="146"/>
      <c r="E31" s="146"/>
      <c r="F31" s="146"/>
      <c r="G31" s="146"/>
      <c r="H31" s="146"/>
      <c r="I31" s="148"/>
      <c r="K31" s="505" t="str">
        <f>IF(M31="","",ROW(J23)-COUNTBLANK($D$11:M31))</f>
        <v/>
      </c>
      <c r="L31" s="146"/>
      <c r="M31" s="146"/>
      <c r="N31" s="146"/>
      <c r="O31" s="146"/>
      <c r="P31" s="146"/>
      <c r="Q31" s="146"/>
      <c r="R31" s="148"/>
    </row>
    <row r="32" spans="2:18" x14ac:dyDescent="0.2">
      <c r="B32" s="505" t="str">
        <f>IF(D32="","",ROW(A24)-COUNTBLANK($D$11:D32))</f>
        <v/>
      </c>
      <c r="C32" s="146"/>
      <c r="D32" s="146"/>
      <c r="E32" s="146"/>
      <c r="F32" s="146"/>
      <c r="G32" s="146"/>
      <c r="H32" s="146"/>
      <c r="I32" s="148"/>
      <c r="K32" s="505" t="str">
        <f>IF(M32="","",ROW(J24)-COUNTBLANK($D$11:M32))</f>
        <v/>
      </c>
      <c r="L32" s="146"/>
      <c r="M32" s="146"/>
      <c r="N32" s="146"/>
      <c r="O32" s="146"/>
      <c r="P32" s="146"/>
      <c r="Q32" s="146"/>
      <c r="R32" s="148"/>
    </row>
    <row r="33" spans="2:18" x14ac:dyDescent="0.2">
      <c r="B33" s="505" t="str">
        <f>IF(D33="","",ROW(A25)-COUNTBLANK($D$11:D33))</f>
        <v/>
      </c>
      <c r="C33" s="146"/>
      <c r="D33" s="146"/>
      <c r="E33" s="146"/>
      <c r="F33" s="146"/>
      <c r="G33" s="146"/>
      <c r="H33" s="146"/>
      <c r="I33" s="148"/>
      <c r="K33" s="505" t="str">
        <f>IF(M33="","",ROW(J25)-COUNTBLANK($D$11:M33))</f>
        <v/>
      </c>
      <c r="L33" s="146"/>
      <c r="M33" s="146"/>
      <c r="N33" s="146"/>
      <c r="O33" s="146"/>
      <c r="P33" s="146"/>
      <c r="Q33" s="146"/>
      <c r="R33" s="148"/>
    </row>
    <row r="34" spans="2:18" x14ac:dyDescent="0.2">
      <c r="B34" s="505" t="str">
        <f>IF(D34="","",ROW(A26)-COUNTBLANK($D$11:D34))</f>
        <v/>
      </c>
      <c r="C34" s="146"/>
      <c r="D34" s="146"/>
      <c r="E34" s="146"/>
      <c r="F34" s="146"/>
      <c r="G34" s="146"/>
      <c r="H34" s="146"/>
      <c r="I34" s="148"/>
      <c r="K34" s="505" t="str">
        <f>IF(M34="","",ROW(J26)-COUNTBLANK($D$11:M34))</f>
        <v/>
      </c>
      <c r="L34" s="146"/>
      <c r="M34" s="146"/>
      <c r="N34" s="146"/>
      <c r="O34" s="146"/>
      <c r="P34" s="146"/>
      <c r="Q34" s="146"/>
      <c r="R34" s="148"/>
    </row>
    <row r="35" spans="2:18" x14ac:dyDescent="0.2">
      <c r="B35" s="505" t="str">
        <f>IF(D35="","",ROW(A27)-COUNTBLANK($D$11:D35))</f>
        <v/>
      </c>
      <c r="C35" s="146"/>
      <c r="D35" s="146"/>
      <c r="E35" s="146"/>
      <c r="F35" s="146"/>
      <c r="G35" s="146"/>
      <c r="H35" s="146"/>
      <c r="I35" s="148"/>
      <c r="K35" s="505" t="str">
        <f>IF(M35="","",ROW(J27)-COUNTBLANK($D$11:M35))</f>
        <v/>
      </c>
      <c r="L35" s="146"/>
      <c r="M35" s="146"/>
      <c r="N35" s="146"/>
      <c r="O35" s="146"/>
      <c r="P35" s="146"/>
      <c r="Q35" s="146"/>
      <c r="R35" s="148"/>
    </row>
    <row r="36" spans="2:18" x14ac:dyDescent="0.2">
      <c r="B36" s="505" t="str">
        <f>IF(D36="","",ROW(A28)-COUNTBLANK($D$11:D36))</f>
        <v/>
      </c>
      <c r="C36" s="146"/>
      <c r="D36" s="146"/>
      <c r="E36" s="146"/>
      <c r="F36" s="146"/>
      <c r="G36" s="146"/>
      <c r="H36" s="146"/>
      <c r="I36" s="148"/>
      <c r="K36" s="505" t="str">
        <f>IF(M36="","",ROW(J28)-COUNTBLANK($D$11:M36))</f>
        <v/>
      </c>
      <c r="L36" s="146"/>
      <c r="M36" s="146"/>
      <c r="N36" s="146"/>
      <c r="O36" s="146"/>
      <c r="P36" s="146"/>
      <c r="Q36" s="146"/>
      <c r="R36" s="148"/>
    </row>
    <row r="37" spans="2:18" x14ac:dyDescent="0.2">
      <c r="B37" s="505" t="str">
        <f>IF(D37="","",ROW(A29)-COUNTBLANK($D$11:D37))</f>
        <v/>
      </c>
      <c r="C37" s="146"/>
      <c r="D37" s="146"/>
      <c r="E37" s="146"/>
      <c r="F37" s="146"/>
      <c r="G37" s="146"/>
      <c r="H37" s="146"/>
      <c r="I37" s="148"/>
      <c r="K37" s="505" t="str">
        <f>IF(M37="","",ROW(J29)-COUNTBLANK($D$11:M37))</f>
        <v/>
      </c>
      <c r="L37" s="146"/>
      <c r="M37" s="146"/>
      <c r="N37" s="146"/>
      <c r="O37" s="146"/>
      <c r="P37" s="146"/>
      <c r="Q37" s="146"/>
      <c r="R37" s="148"/>
    </row>
    <row r="38" spans="2:18" x14ac:dyDescent="0.2">
      <c r="B38" s="505" t="str">
        <f>IF(D38="","",ROW(A30)-COUNTBLANK($D$11:D38))</f>
        <v/>
      </c>
      <c r="C38" s="146"/>
      <c r="D38" s="146"/>
      <c r="E38" s="146"/>
      <c r="F38" s="146"/>
      <c r="G38" s="146"/>
      <c r="H38" s="146"/>
      <c r="I38" s="148"/>
      <c r="K38" s="505" t="str">
        <f>IF(M38="","",ROW(J30)-COUNTBLANK($D$11:M38))</f>
        <v/>
      </c>
      <c r="L38" s="146"/>
      <c r="M38" s="146"/>
      <c r="N38" s="146"/>
      <c r="O38" s="146"/>
      <c r="P38" s="146"/>
      <c r="Q38" s="146"/>
      <c r="R38" s="148"/>
    </row>
    <row r="39" spans="2:18" x14ac:dyDescent="0.2">
      <c r="B39" s="505" t="str">
        <f>IF(D39="","",ROW(A31)-COUNTBLANK($D$11:D39))</f>
        <v/>
      </c>
      <c r="C39" s="146"/>
      <c r="D39" s="146"/>
      <c r="E39" s="146"/>
      <c r="F39" s="146"/>
      <c r="G39" s="146"/>
      <c r="H39" s="146"/>
      <c r="I39" s="148"/>
      <c r="K39" s="505" t="str">
        <f>IF(M39="","",ROW(J31)-COUNTBLANK($D$11:M39))</f>
        <v/>
      </c>
      <c r="L39" s="146"/>
      <c r="M39" s="146"/>
      <c r="N39" s="146"/>
      <c r="O39" s="146"/>
      <c r="P39" s="146"/>
      <c r="Q39" s="146"/>
      <c r="R39" s="148"/>
    </row>
    <row r="40" spans="2:18" x14ac:dyDescent="0.2">
      <c r="B40" s="505" t="str">
        <f>IF(D40="","",ROW(A32)-COUNTBLANK($D$11:D40))</f>
        <v/>
      </c>
      <c r="C40" s="146"/>
      <c r="D40" s="146"/>
      <c r="E40" s="146"/>
      <c r="F40" s="146"/>
      <c r="G40" s="146"/>
      <c r="H40" s="146"/>
      <c r="I40" s="148"/>
      <c r="K40" s="505" t="str">
        <f>IF(M40="","",ROW(J32)-COUNTBLANK($D$11:M40))</f>
        <v/>
      </c>
      <c r="L40" s="146"/>
      <c r="M40" s="146"/>
      <c r="N40" s="146"/>
      <c r="O40" s="146"/>
      <c r="P40" s="146"/>
      <c r="Q40" s="146"/>
      <c r="R40" s="148"/>
    </row>
    <row r="41" spans="2:18" x14ac:dyDescent="0.2">
      <c r="B41" s="505" t="str">
        <f>IF(D41="","",ROW(A33)-COUNTBLANK($D$11:D41))</f>
        <v/>
      </c>
      <c r="C41" s="146"/>
      <c r="D41" s="146"/>
      <c r="E41" s="146"/>
      <c r="F41" s="146"/>
      <c r="G41" s="146"/>
      <c r="H41" s="146"/>
      <c r="I41" s="148"/>
      <c r="K41" s="505" t="str">
        <f>IF(M41="","",ROW(J33)-COUNTBLANK($D$11:M41))</f>
        <v/>
      </c>
      <c r="L41" s="146"/>
      <c r="M41" s="146"/>
      <c r="N41" s="146"/>
      <c r="O41" s="146"/>
      <c r="P41" s="146"/>
      <c r="Q41" s="146"/>
      <c r="R41" s="148"/>
    </row>
    <row r="42" spans="2:18" ht="13.5" thickBot="1" x14ac:dyDescent="0.25">
      <c r="B42" s="184">
        <f>COUNTA(B11:B23)-COUNTBLANK(B11:B23)</f>
        <v>2</v>
      </c>
      <c r="C42" s="150"/>
      <c r="D42" s="150"/>
      <c r="E42" s="150"/>
      <c r="F42" s="150"/>
      <c r="G42" s="150"/>
      <c r="H42" s="150"/>
      <c r="I42" s="151"/>
      <c r="K42" s="184">
        <f>COUNTA(K11:K23)-COUNTBLANK(K11:K23)</f>
        <v>0</v>
      </c>
      <c r="L42" s="150"/>
      <c r="M42" s="150"/>
      <c r="N42" s="150"/>
      <c r="O42" s="150"/>
      <c r="P42" s="150"/>
      <c r="Q42" s="150"/>
      <c r="R42" s="151"/>
    </row>
    <row r="45" spans="2:18" x14ac:dyDescent="0.2">
      <c r="B45" s="688" t="s">
        <v>618</v>
      </c>
      <c r="C45" s="689"/>
      <c r="D45" s="689"/>
      <c r="E45" s="689"/>
      <c r="F45" s="689"/>
      <c r="G45" s="689"/>
      <c r="H45" s="689"/>
      <c r="I45" s="690"/>
      <c r="K45" s="688" t="s">
        <v>618</v>
      </c>
      <c r="L45" s="689"/>
      <c r="M45" s="689"/>
      <c r="N45" s="689"/>
      <c r="O45" s="689"/>
      <c r="P45" s="689"/>
      <c r="Q45" s="689"/>
      <c r="R45" s="690"/>
    </row>
    <row r="46" spans="2:18" x14ac:dyDescent="0.2">
      <c r="B46" s="514">
        <f>IF(D46="","",ROW(A36)-COUNTBLANK($D$11:D46))</f>
        <v>3</v>
      </c>
      <c r="C46" s="511">
        <v>44679</v>
      </c>
      <c r="D46" s="517">
        <v>0.5</v>
      </c>
      <c r="E46" s="503" t="s">
        <v>299</v>
      </c>
      <c r="F46" s="146"/>
      <c r="G46" s="146"/>
      <c r="H46" s="146"/>
      <c r="I46" s="148"/>
      <c r="K46" s="514" t="str">
        <f>IF(M46="","",ROW(J36)-COUNTBLANK($D$11:M46))</f>
        <v/>
      </c>
      <c r="L46" s="511"/>
      <c r="M46" s="146"/>
      <c r="N46" s="503" t="s">
        <v>299</v>
      </c>
      <c r="O46" s="146"/>
      <c r="P46" s="146"/>
      <c r="Q46" s="146"/>
      <c r="R46" s="148"/>
    </row>
    <row r="47" spans="2:18" x14ac:dyDescent="0.2">
      <c r="B47" s="505" t="str">
        <f>IF(D47="","",ROW(A37)-COUNTBLANK($D$11:D47))</f>
        <v/>
      </c>
      <c r="C47" s="146"/>
      <c r="D47" s="517"/>
      <c r="E47" s="146"/>
      <c r="F47" s="146"/>
      <c r="G47" s="146"/>
      <c r="H47" s="146"/>
      <c r="I47" s="148"/>
      <c r="K47" s="505" t="str">
        <f>IF(M47="","",ROW(J37)-COUNTBLANK($D$11:M47))</f>
        <v/>
      </c>
      <c r="L47" s="146"/>
      <c r="M47" s="146"/>
      <c r="N47" s="146"/>
      <c r="O47" s="146"/>
      <c r="P47" s="146"/>
      <c r="Q47" s="146"/>
      <c r="R47" s="148"/>
    </row>
    <row r="48" spans="2:18" x14ac:dyDescent="0.2">
      <c r="B48" s="505" t="str">
        <f>IF(D48="","",ROW(A38)-COUNTBLANK($D$11:D48))</f>
        <v/>
      </c>
      <c r="C48" s="146"/>
      <c r="D48" s="517"/>
      <c r="E48" s="146"/>
      <c r="F48" s="146"/>
      <c r="G48" s="146"/>
      <c r="H48" s="146"/>
      <c r="I48" s="148"/>
      <c r="K48" s="505" t="str">
        <f>IF(M48="","",ROW(J38)-COUNTBLANK($D$11:M48))</f>
        <v/>
      </c>
      <c r="L48" s="146"/>
      <c r="M48" s="146"/>
      <c r="N48" s="146"/>
      <c r="O48" s="146"/>
      <c r="P48" s="146"/>
      <c r="Q48" s="146"/>
      <c r="R48" s="148"/>
    </row>
    <row r="49" spans="2:18" x14ac:dyDescent="0.2">
      <c r="B49" s="505">
        <f>IF(D49="","",ROW(A39)-COUNTBLANK($D$11:D49))</f>
        <v>4</v>
      </c>
      <c r="C49" s="511">
        <v>44683</v>
      </c>
      <c r="D49" s="517">
        <v>5</v>
      </c>
      <c r="E49" s="146"/>
      <c r="F49" s="146"/>
      <c r="G49" s="146"/>
      <c r="H49" s="146"/>
      <c r="I49" s="148"/>
      <c r="K49" s="505" t="str">
        <f>IF(M49="","",ROW(J39)-COUNTBLANK($D$11:M49))</f>
        <v/>
      </c>
      <c r="L49" s="511"/>
      <c r="M49" s="146"/>
      <c r="N49" s="146"/>
      <c r="O49" s="146"/>
      <c r="P49" s="146"/>
      <c r="Q49" s="146"/>
      <c r="R49" s="148"/>
    </row>
    <row r="50" spans="2:18" x14ac:dyDescent="0.2">
      <c r="B50" s="505" t="str">
        <f>IF(D50="","",ROW(A40)-COUNTBLANK($D$11:D50))</f>
        <v/>
      </c>
      <c r="C50" s="146"/>
      <c r="D50" s="517"/>
      <c r="E50" s="146"/>
      <c r="F50" s="146"/>
      <c r="G50" s="146"/>
      <c r="H50" s="146"/>
      <c r="I50" s="148"/>
      <c r="K50" s="505" t="str">
        <f>IF(M50="","",ROW(J40)-COUNTBLANK($D$11:M50))</f>
        <v/>
      </c>
      <c r="L50" s="146"/>
      <c r="M50" s="146"/>
      <c r="N50" s="146"/>
      <c r="O50" s="146"/>
      <c r="P50" s="146"/>
      <c r="Q50" s="146"/>
      <c r="R50" s="148"/>
    </row>
    <row r="51" spans="2:18" x14ac:dyDescent="0.2">
      <c r="B51" s="505" t="str">
        <f>IF(D51="","",ROW(A41)-COUNTBLANK($D$11:D51))</f>
        <v/>
      </c>
      <c r="C51" s="146"/>
      <c r="D51" s="517"/>
      <c r="E51" s="146"/>
      <c r="F51" s="146"/>
      <c r="G51" s="146"/>
      <c r="H51" s="146"/>
      <c r="I51" s="148"/>
      <c r="K51" s="505" t="str">
        <f>IF(M51="","",ROW(J41)-COUNTBLANK($D$11:M51))</f>
        <v/>
      </c>
      <c r="L51" s="146"/>
      <c r="M51" s="146"/>
      <c r="N51" s="146"/>
      <c r="O51" s="146"/>
      <c r="P51" s="146"/>
      <c r="Q51" s="146"/>
      <c r="R51" s="148"/>
    </row>
    <row r="52" spans="2:18" x14ac:dyDescent="0.2">
      <c r="B52" s="505" t="str">
        <f>IF(D52="","",ROW(A42)-COUNTBLANK($D$11:D52))</f>
        <v/>
      </c>
      <c r="C52" s="146"/>
      <c r="D52" s="517"/>
      <c r="E52" s="146"/>
      <c r="F52" s="146"/>
      <c r="G52" s="146"/>
      <c r="H52" s="146"/>
      <c r="I52" s="148"/>
      <c r="K52" s="505" t="str">
        <f>IF(M52="","",ROW(J42)-COUNTBLANK($D$11:M52))</f>
        <v/>
      </c>
      <c r="L52" s="146"/>
      <c r="M52" s="146"/>
      <c r="N52" s="146"/>
      <c r="O52" s="146"/>
      <c r="P52" s="146"/>
      <c r="Q52" s="146"/>
      <c r="R52" s="148"/>
    </row>
    <row r="53" spans="2:18" x14ac:dyDescent="0.2">
      <c r="B53" s="505" t="str">
        <f>IF(D53="","",ROW(A43)-COUNTBLANK($D$11:D53))</f>
        <v/>
      </c>
      <c r="C53" s="146"/>
      <c r="D53" s="517"/>
      <c r="E53" s="146"/>
      <c r="F53" s="146"/>
      <c r="G53" s="146"/>
      <c r="H53" s="146"/>
      <c r="I53" s="148"/>
      <c r="K53" s="505" t="str">
        <f>IF(M53="","",ROW(J43)-COUNTBLANK($D$11:M53))</f>
        <v/>
      </c>
      <c r="L53" s="146"/>
      <c r="M53" s="146"/>
      <c r="N53" s="146"/>
      <c r="O53" s="146"/>
      <c r="P53" s="146"/>
      <c r="Q53" s="146"/>
      <c r="R53" s="148"/>
    </row>
    <row r="54" spans="2:18" x14ac:dyDescent="0.2">
      <c r="B54" s="505" t="str">
        <f>IF(D54="","",ROW(A46)-COUNTBLANK($D$11:D54))</f>
        <v/>
      </c>
      <c r="C54" s="146"/>
      <c r="D54" s="517"/>
      <c r="E54" s="146"/>
      <c r="F54" s="146"/>
      <c r="G54" s="146"/>
      <c r="H54" s="146"/>
      <c r="I54" s="148"/>
      <c r="K54" s="505" t="str">
        <f>IF(M54="","",ROW(J46)-COUNTBLANK($D$11:M54))</f>
        <v/>
      </c>
      <c r="L54" s="146"/>
      <c r="M54" s="146"/>
      <c r="N54" s="146"/>
      <c r="O54" s="146"/>
      <c r="P54" s="146"/>
      <c r="Q54" s="146"/>
      <c r="R54" s="148"/>
    </row>
    <row r="55" spans="2:18" x14ac:dyDescent="0.2">
      <c r="B55" s="505" t="str">
        <f>IF(D55="","",ROW(A47)-COUNTBLANK($D$11:D55))</f>
        <v/>
      </c>
      <c r="C55" s="146"/>
      <c r="D55" s="517"/>
      <c r="E55" s="146"/>
      <c r="F55" s="146"/>
      <c r="G55" s="146"/>
      <c r="H55" s="146"/>
      <c r="I55" s="148"/>
      <c r="K55" s="505" t="str">
        <f>IF(M55="","",ROW(J47)-COUNTBLANK($D$11:M55))</f>
        <v/>
      </c>
      <c r="L55" s="146"/>
      <c r="M55" s="146"/>
      <c r="N55" s="146"/>
      <c r="O55" s="146"/>
      <c r="P55" s="146"/>
      <c r="Q55" s="146"/>
      <c r="R55" s="148"/>
    </row>
    <row r="56" spans="2:18" x14ac:dyDescent="0.2">
      <c r="B56" s="505" t="str">
        <f>IF(D56="","",ROW(A48)-COUNTBLANK($D$11:D56))</f>
        <v/>
      </c>
      <c r="C56" s="146"/>
      <c r="D56" s="517"/>
      <c r="E56" s="146"/>
      <c r="F56" s="146"/>
      <c r="G56" s="146"/>
      <c r="H56" s="146"/>
      <c r="I56" s="148"/>
      <c r="K56" s="505" t="str">
        <f>IF(M56="","",ROW(J48)-COUNTBLANK($D$11:M56))</f>
        <v/>
      </c>
      <c r="L56" s="146"/>
      <c r="M56" s="146"/>
      <c r="N56" s="146"/>
      <c r="O56" s="146"/>
      <c r="P56" s="146"/>
      <c r="Q56" s="146"/>
      <c r="R56" s="148"/>
    </row>
    <row r="57" spans="2:18" x14ac:dyDescent="0.2">
      <c r="B57" s="505" t="str">
        <f>IF(D57="","",ROW(A49)-COUNTBLANK($D$11:D57))</f>
        <v/>
      </c>
      <c r="C57" s="146"/>
      <c r="D57" s="517"/>
      <c r="E57" s="146"/>
      <c r="F57" s="146"/>
      <c r="G57" s="146"/>
      <c r="H57" s="146"/>
      <c r="I57" s="148"/>
      <c r="K57" s="505" t="str">
        <f>IF(M57="","",ROW(J49)-COUNTBLANK($D$11:M57))</f>
        <v/>
      </c>
      <c r="L57" s="146"/>
      <c r="M57" s="146"/>
      <c r="N57" s="146"/>
      <c r="O57" s="146"/>
      <c r="P57" s="146"/>
      <c r="Q57" s="146"/>
      <c r="R57" s="148"/>
    </row>
    <row r="58" spans="2:18" x14ac:dyDescent="0.2">
      <c r="B58" s="505" t="str">
        <f>IF(D58="","",ROW(A50)-COUNTBLANK($D$11:D58))</f>
        <v/>
      </c>
      <c r="C58" s="146"/>
      <c r="D58" s="517"/>
      <c r="E58" s="146"/>
      <c r="F58" s="146"/>
      <c r="G58" s="146"/>
      <c r="H58" s="146"/>
      <c r="I58" s="148"/>
      <c r="K58" s="505" t="str">
        <f>IF(M58="","",ROW(J50)-COUNTBLANK($D$11:M58))</f>
        <v/>
      </c>
      <c r="L58" s="146"/>
      <c r="M58" s="146"/>
      <c r="N58" s="146"/>
      <c r="O58" s="146"/>
      <c r="P58" s="146"/>
      <c r="Q58" s="146"/>
      <c r="R58" s="148"/>
    </row>
    <row r="59" spans="2:18" x14ac:dyDescent="0.2">
      <c r="B59" s="505" t="str">
        <f>IF(D59="","",ROW(A51)-COUNTBLANK($D$11:D59))</f>
        <v/>
      </c>
      <c r="C59" s="146"/>
      <c r="D59" s="517"/>
      <c r="E59" s="146"/>
      <c r="F59" s="146"/>
      <c r="G59" s="146"/>
      <c r="H59" s="146"/>
      <c r="I59" s="148"/>
      <c r="K59" s="505" t="str">
        <f>IF(M59="","",ROW(J51)-COUNTBLANK($D$11:M59))</f>
        <v/>
      </c>
      <c r="L59" s="146"/>
      <c r="M59" s="146"/>
      <c r="N59" s="146"/>
      <c r="O59" s="146"/>
      <c r="P59" s="146"/>
      <c r="Q59" s="146"/>
      <c r="R59" s="148"/>
    </row>
    <row r="60" spans="2:18" x14ac:dyDescent="0.2">
      <c r="B60" s="505" t="str">
        <f>IF(D60="","",ROW(A52)-COUNTBLANK($D$11:D60))</f>
        <v/>
      </c>
      <c r="C60" s="146"/>
      <c r="D60" s="517"/>
      <c r="E60" s="146"/>
      <c r="F60" s="146"/>
      <c r="G60" s="146"/>
      <c r="H60" s="146"/>
      <c r="I60" s="148"/>
      <c r="K60" s="505" t="str">
        <f>IF(M60="","",ROW(J52)-COUNTBLANK($D$11:M60))</f>
        <v/>
      </c>
      <c r="L60" s="146"/>
      <c r="M60" s="146"/>
      <c r="N60" s="146"/>
      <c r="O60" s="146"/>
      <c r="P60" s="146"/>
      <c r="Q60" s="146"/>
      <c r="R60" s="148"/>
    </row>
    <row r="61" spans="2:18" x14ac:dyDescent="0.2">
      <c r="B61" s="505" t="str">
        <f>IF(D61="","",ROW(A53)-COUNTBLANK($D$11:D61))</f>
        <v/>
      </c>
      <c r="C61" s="146"/>
      <c r="D61" s="517"/>
      <c r="E61" s="146"/>
      <c r="F61" s="146"/>
      <c r="G61" s="146"/>
      <c r="H61" s="146"/>
      <c r="I61" s="148"/>
      <c r="K61" s="505" t="str">
        <f>IF(M61="","",ROW(J53)-COUNTBLANK($D$11:M61))</f>
        <v/>
      </c>
      <c r="L61" s="146"/>
      <c r="M61" s="146"/>
      <c r="N61" s="146"/>
      <c r="O61" s="146"/>
      <c r="P61" s="146"/>
      <c r="Q61" s="146"/>
      <c r="R61" s="148"/>
    </row>
    <row r="62" spans="2:18" x14ac:dyDescent="0.2">
      <c r="B62" s="505" t="str">
        <f>IF(D62="","",ROW(A54)-COUNTBLANK($D$11:D62))</f>
        <v/>
      </c>
      <c r="C62" s="146"/>
      <c r="D62" s="517"/>
      <c r="E62" s="146"/>
      <c r="F62" s="146"/>
      <c r="G62" s="146"/>
      <c r="H62" s="146"/>
      <c r="I62" s="148"/>
      <c r="K62" s="505" t="str">
        <f>IF(M62="","",ROW(J54)-COUNTBLANK($D$11:M62))</f>
        <v/>
      </c>
      <c r="L62" s="146"/>
      <c r="M62" s="146"/>
      <c r="N62" s="146"/>
      <c r="O62" s="146"/>
      <c r="P62" s="146"/>
      <c r="Q62" s="146"/>
      <c r="R62" s="148"/>
    </row>
    <row r="63" spans="2:18" x14ac:dyDescent="0.2">
      <c r="B63" s="505" t="str">
        <f>IF(D63="","",ROW(A55)-COUNTBLANK($D$11:D63))</f>
        <v/>
      </c>
      <c r="C63" s="146"/>
      <c r="D63" s="517"/>
      <c r="E63" s="146"/>
      <c r="F63" s="146"/>
      <c r="G63" s="146"/>
      <c r="H63" s="146"/>
      <c r="I63" s="148"/>
      <c r="K63" s="505" t="str">
        <f>IF(M63="","",ROW(J55)-COUNTBLANK($D$11:M63))</f>
        <v/>
      </c>
      <c r="L63" s="146"/>
      <c r="M63" s="146"/>
      <c r="N63" s="146"/>
      <c r="O63" s="146"/>
      <c r="P63" s="146"/>
      <c r="Q63" s="146"/>
      <c r="R63" s="148"/>
    </row>
    <row r="64" spans="2:18" x14ac:dyDescent="0.2">
      <c r="B64" s="505" t="str">
        <f>IF(D64="","",ROW(A56)-COUNTBLANK($D$11:D64))</f>
        <v/>
      </c>
      <c r="C64" s="146"/>
      <c r="D64" s="517"/>
      <c r="E64" s="146"/>
      <c r="F64" s="146"/>
      <c r="G64" s="146"/>
      <c r="H64" s="146"/>
      <c r="I64" s="148"/>
      <c r="K64" s="505" t="str">
        <f>IF(M64="","",ROW(J56)-COUNTBLANK($D$11:M64))</f>
        <v/>
      </c>
      <c r="L64" s="146"/>
      <c r="M64" s="146"/>
      <c r="N64" s="146"/>
      <c r="O64" s="146"/>
      <c r="P64" s="146"/>
      <c r="Q64" s="146"/>
      <c r="R64" s="148"/>
    </row>
    <row r="65" spans="2:18" x14ac:dyDescent="0.2">
      <c r="B65" s="505" t="str">
        <f>IF(D65="","",ROW(A57)-COUNTBLANK($D$11:D65))</f>
        <v/>
      </c>
      <c r="C65" s="146"/>
      <c r="D65" s="517"/>
      <c r="E65" s="146"/>
      <c r="F65" s="146"/>
      <c r="G65" s="146"/>
      <c r="H65" s="146"/>
      <c r="I65" s="148"/>
      <c r="K65" s="505" t="str">
        <f>IF(M65="","",ROW(J57)-COUNTBLANK($D$11:M65))</f>
        <v/>
      </c>
      <c r="L65" s="146"/>
      <c r="M65" s="146"/>
      <c r="N65" s="146"/>
      <c r="O65" s="146"/>
      <c r="P65" s="146"/>
      <c r="Q65" s="146"/>
      <c r="R65" s="148"/>
    </row>
    <row r="66" spans="2:18" x14ac:dyDescent="0.2">
      <c r="B66" s="505" t="str">
        <f>IF(D66="","",ROW(A58)-COUNTBLANK($D$11:D66))</f>
        <v/>
      </c>
      <c r="C66" s="146"/>
      <c r="D66" s="517"/>
      <c r="E66" s="146"/>
      <c r="F66" s="146"/>
      <c r="G66" s="146"/>
      <c r="H66" s="146"/>
      <c r="I66" s="148"/>
      <c r="K66" s="505" t="str">
        <f>IF(M66="","",ROW(J58)-COUNTBLANK($D$11:M66))</f>
        <v/>
      </c>
      <c r="L66" s="146"/>
      <c r="M66" s="146"/>
      <c r="N66" s="146"/>
      <c r="O66" s="146"/>
      <c r="P66" s="146"/>
      <c r="Q66" s="146"/>
      <c r="R66" s="148"/>
    </row>
    <row r="67" spans="2:18" x14ac:dyDescent="0.2">
      <c r="B67" s="505" t="str">
        <f>IF(D67="","",ROW(A59)-COUNTBLANK($D$11:D67))</f>
        <v/>
      </c>
      <c r="C67" s="146"/>
      <c r="D67" s="517"/>
      <c r="E67" s="146"/>
      <c r="F67" s="146"/>
      <c r="G67" s="146"/>
      <c r="H67" s="146"/>
      <c r="I67" s="148"/>
      <c r="K67" s="505" t="str">
        <f>IF(M67="","",ROW(J59)-COUNTBLANK($D$11:M67))</f>
        <v/>
      </c>
      <c r="L67" s="146"/>
      <c r="M67" s="146"/>
      <c r="N67" s="146"/>
      <c r="O67" s="146"/>
      <c r="P67" s="146"/>
      <c r="Q67" s="146"/>
      <c r="R67" s="148"/>
    </row>
    <row r="68" spans="2:18" x14ac:dyDescent="0.2">
      <c r="B68" s="505" t="str">
        <f>IF(D68="","",ROW(A60)-COUNTBLANK($D$11:D68))</f>
        <v/>
      </c>
      <c r="C68" s="146"/>
      <c r="D68" s="517"/>
      <c r="E68" s="146"/>
      <c r="F68" s="146"/>
      <c r="G68" s="146"/>
      <c r="H68" s="146"/>
      <c r="I68" s="148"/>
      <c r="K68" s="505" t="str">
        <f>IF(M68="","",ROW(J60)-COUNTBLANK($D$11:M68))</f>
        <v/>
      </c>
      <c r="L68" s="146"/>
      <c r="M68" s="146"/>
      <c r="N68" s="146"/>
      <c r="O68" s="146"/>
      <c r="P68" s="146"/>
      <c r="Q68" s="146"/>
      <c r="R68" s="148"/>
    </row>
    <row r="69" spans="2:18" x14ac:dyDescent="0.2">
      <c r="B69" s="505" t="str">
        <f>IF(D69="","",ROW(A61)-COUNTBLANK($D$11:D69))</f>
        <v/>
      </c>
      <c r="C69" s="146"/>
      <c r="D69" s="517"/>
      <c r="E69" s="146"/>
      <c r="F69" s="146"/>
      <c r="G69" s="146"/>
      <c r="H69" s="146"/>
      <c r="I69" s="148"/>
      <c r="K69" s="505" t="str">
        <f>IF(M69="","",ROW(J61)-COUNTBLANK($D$11:M69))</f>
        <v/>
      </c>
      <c r="L69" s="146"/>
      <c r="M69" s="146"/>
      <c r="N69" s="146"/>
      <c r="O69" s="146"/>
      <c r="P69" s="146"/>
      <c r="Q69" s="146"/>
      <c r="R69" s="148"/>
    </row>
    <row r="70" spans="2:18" x14ac:dyDescent="0.2">
      <c r="B70" s="505" t="str">
        <f>IF(D70="","",ROW(A62)-COUNTBLANK($D$11:D70))</f>
        <v/>
      </c>
      <c r="C70" s="146"/>
      <c r="D70" s="517"/>
      <c r="E70" s="146"/>
      <c r="F70" s="146"/>
      <c r="G70" s="146"/>
      <c r="H70" s="146"/>
      <c r="I70" s="148"/>
      <c r="K70" s="505" t="str">
        <f>IF(M70="","",ROW(J62)-COUNTBLANK($D$11:M70))</f>
        <v/>
      </c>
      <c r="L70" s="146"/>
      <c r="M70" s="146"/>
      <c r="N70" s="146"/>
      <c r="O70" s="146"/>
      <c r="P70" s="146"/>
      <c r="Q70" s="146"/>
      <c r="R70" s="148"/>
    </row>
    <row r="71" spans="2:18" x14ac:dyDescent="0.2">
      <c r="B71" s="505" t="str">
        <f>IF(D71="","",ROW(A63)-COUNTBLANK($D$11:D71))</f>
        <v/>
      </c>
      <c r="C71" s="146"/>
      <c r="D71" s="517"/>
      <c r="E71" s="146"/>
      <c r="F71" s="146"/>
      <c r="G71" s="146"/>
      <c r="H71" s="146"/>
      <c r="I71" s="148"/>
      <c r="K71" s="505" t="str">
        <f>IF(M71="","",ROW(J63)-COUNTBLANK($D$11:M71))</f>
        <v/>
      </c>
      <c r="L71" s="146"/>
      <c r="M71" s="146"/>
      <c r="N71" s="146"/>
      <c r="O71" s="146"/>
      <c r="P71" s="146"/>
      <c r="Q71" s="146"/>
      <c r="R71" s="148"/>
    </row>
    <row r="72" spans="2:18" x14ac:dyDescent="0.2">
      <c r="B72" s="505" t="str">
        <f>IF(D72="","",ROW(A64)-COUNTBLANK($D$11:D72))</f>
        <v/>
      </c>
      <c r="C72" s="146"/>
      <c r="D72" s="517"/>
      <c r="E72" s="146"/>
      <c r="F72" s="146"/>
      <c r="G72" s="146"/>
      <c r="H72" s="146"/>
      <c r="I72" s="148"/>
      <c r="K72" s="505" t="str">
        <f>IF(M72="","",ROW(J64)-COUNTBLANK($D$11:M72))</f>
        <v/>
      </c>
      <c r="L72" s="146"/>
      <c r="M72" s="146"/>
      <c r="N72" s="146"/>
      <c r="O72" s="146"/>
      <c r="P72" s="146"/>
      <c r="Q72" s="146"/>
      <c r="R72" s="148"/>
    </row>
    <row r="73" spans="2:18" x14ac:dyDescent="0.2">
      <c r="B73" s="505" t="str">
        <f>IF(D73="","",ROW(A65)-COUNTBLANK($D$11:D73))</f>
        <v/>
      </c>
      <c r="C73" s="146"/>
      <c r="D73" s="517"/>
      <c r="E73" s="146"/>
      <c r="F73" s="146"/>
      <c r="G73" s="146"/>
      <c r="H73" s="146"/>
      <c r="I73" s="148"/>
      <c r="K73" s="505" t="str">
        <f>IF(M73="","",ROW(J65)-COUNTBLANK($D$11:M73))</f>
        <v/>
      </c>
      <c r="L73" s="146"/>
      <c r="M73" s="146"/>
      <c r="N73" s="146"/>
      <c r="O73" s="146"/>
      <c r="P73" s="146"/>
      <c r="Q73" s="146"/>
      <c r="R73" s="148"/>
    </row>
    <row r="74" spans="2:18" x14ac:dyDescent="0.2">
      <c r="B74" s="505" t="str">
        <f>IF(D74="","",ROW(A66)-COUNTBLANK($D$11:D74))</f>
        <v/>
      </c>
      <c r="C74" s="146"/>
      <c r="D74" s="517"/>
      <c r="E74" s="146"/>
      <c r="F74" s="146"/>
      <c r="G74" s="146"/>
      <c r="H74" s="146"/>
      <c r="I74" s="148"/>
      <c r="K74" s="505" t="str">
        <f>IF(M74="","",ROW(J66)-COUNTBLANK($D$11:M74))</f>
        <v/>
      </c>
      <c r="L74" s="146"/>
      <c r="M74" s="146"/>
      <c r="N74" s="146"/>
      <c r="O74" s="146"/>
      <c r="P74" s="146"/>
      <c r="Q74" s="146"/>
      <c r="R74" s="148"/>
    </row>
    <row r="75" spans="2:18" x14ac:dyDescent="0.2">
      <c r="B75" s="505" t="str">
        <f>IF(D75="","",ROW(A67)-COUNTBLANK($D$11:D75))</f>
        <v/>
      </c>
      <c r="C75" s="146"/>
      <c r="D75" s="517"/>
      <c r="E75" s="146"/>
      <c r="F75" s="146"/>
      <c r="G75" s="146"/>
      <c r="H75" s="146"/>
      <c r="I75" s="148"/>
      <c r="K75" s="505" t="str">
        <f>IF(M75="","",ROW(J67)-COUNTBLANK($D$11:M75))</f>
        <v/>
      </c>
      <c r="L75" s="146"/>
      <c r="M75" s="146"/>
      <c r="N75" s="146"/>
      <c r="O75" s="146"/>
      <c r="P75" s="146"/>
      <c r="Q75" s="146"/>
      <c r="R75" s="148"/>
    </row>
    <row r="76" spans="2:18" x14ac:dyDescent="0.2">
      <c r="B76" s="505" t="str">
        <f>IF(D76="","",ROW(A68)-COUNTBLANK($D$11:D76))</f>
        <v/>
      </c>
      <c r="C76" s="146"/>
      <c r="D76" s="517"/>
      <c r="E76" s="146"/>
      <c r="F76" s="146"/>
      <c r="G76" s="146"/>
      <c r="H76" s="146"/>
      <c r="I76" s="148"/>
      <c r="K76" s="505" t="str">
        <f>IF(M76="","",ROW(J68)-COUNTBLANK($D$11:M76))</f>
        <v/>
      </c>
      <c r="L76" s="146"/>
      <c r="M76" s="146"/>
      <c r="N76" s="146"/>
      <c r="O76" s="146"/>
      <c r="P76" s="146"/>
      <c r="Q76" s="146"/>
      <c r="R76" s="148"/>
    </row>
    <row r="77" spans="2:18" ht="13.5" thickBot="1" x14ac:dyDescent="0.25">
      <c r="B77" s="184">
        <f>COUNTA(B46:B58)-COUNTBLANK(B46:B58)</f>
        <v>2</v>
      </c>
      <c r="C77" s="150"/>
      <c r="D77" s="518">
        <f>SUM(D46:D76)</f>
        <v>5.5</v>
      </c>
      <c r="E77" s="150"/>
      <c r="F77" s="150"/>
      <c r="G77" s="150"/>
      <c r="H77" s="150"/>
      <c r="I77" s="151"/>
      <c r="K77" s="184">
        <f>COUNTA(K46:K58)-COUNTBLANK(K46:K58)</f>
        <v>0</v>
      </c>
      <c r="L77" s="150"/>
      <c r="M77" s="150"/>
      <c r="N77" s="150"/>
      <c r="O77" s="150"/>
      <c r="P77" s="150"/>
      <c r="Q77" s="150"/>
      <c r="R77" s="151"/>
    </row>
    <row r="80" spans="2:18" x14ac:dyDescent="0.2">
      <c r="B80" s="688" t="s">
        <v>619</v>
      </c>
      <c r="C80" s="689"/>
      <c r="D80" s="689"/>
      <c r="E80" s="689"/>
      <c r="F80" s="689"/>
      <c r="G80" s="689"/>
      <c r="H80" s="689"/>
      <c r="I80" s="690"/>
      <c r="K80" s="688" t="s">
        <v>619</v>
      </c>
      <c r="L80" s="689"/>
      <c r="M80" s="689"/>
      <c r="N80" s="689"/>
      <c r="O80" s="689"/>
      <c r="P80" s="689"/>
      <c r="Q80" s="689"/>
      <c r="R80" s="690"/>
    </row>
    <row r="81" spans="2:18" x14ac:dyDescent="0.2">
      <c r="B81" s="514">
        <f>IF(D81="","",ROW(A71)-COUNTBLANK($D$11:D81))</f>
        <v>6</v>
      </c>
      <c r="C81" s="511">
        <v>44679</v>
      </c>
      <c r="D81" s="146">
        <v>7</v>
      </c>
      <c r="E81" s="503" t="s">
        <v>299</v>
      </c>
      <c r="F81" s="146"/>
      <c r="G81" s="146"/>
      <c r="H81" s="146"/>
      <c r="I81" s="148"/>
      <c r="K81" s="514">
        <f ca="1">IF(M81="","",ROW(J71)-COUNTBLANK($D$11:M81))</f>
        <v>5</v>
      </c>
      <c r="L81" s="511">
        <v>44679</v>
      </c>
      <c r="M81" s="146">
        <v>7</v>
      </c>
      <c r="N81" s="503" t="s">
        <v>299</v>
      </c>
      <c r="O81" s="146"/>
      <c r="P81" s="146"/>
      <c r="Q81" s="146"/>
      <c r="R81" s="148"/>
    </row>
    <row r="82" spans="2:18" x14ac:dyDescent="0.2">
      <c r="B82" s="505" t="str">
        <f>IF(D82="","",ROW(A72)-COUNTBLANK($D$11:D82))</f>
        <v/>
      </c>
      <c r="C82" s="146"/>
      <c r="D82" s="146"/>
      <c r="E82" s="146"/>
      <c r="F82" s="146"/>
      <c r="G82" s="146"/>
      <c r="H82" s="146"/>
      <c r="I82" s="148"/>
      <c r="K82" s="505" t="str">
        <f>IF(M82="","",ROW(J72)-COUNTBLANK($D$11:M82))</f>
        <v/>
      </c>
      <c r="L82" s="146"/>
      <c r="M82" s="146"/>
      <c r="N82" s="146"/>
      <c r="O82" s="146"/>
      <c r="P82" s="146"/>
      <c r="Q82" s="146"/>
      <c r="R82" s="148"/>
    </row>
    <row r="83" spans="2:18" x14ac:dyDescent="0.2">
      <c r="B83" s="505" t="str">
        <f>IF(D83="","",ROW(A73)-COUNTBLANK($D$11:D83))</f>
        <v/>
      </c>
      <c r="C83" s="146"/>
      <c r="D83" s="146"/>
      <c r="E83" s="146"/>
      <c r="F83" s="146"/>
      <c r="G83" s="146"/>
      <c r="H83" s="146"/>
      <c r="I83" s="148"/>
      <c r="K83" s="505" t="str">
        <f>IF(M83="","",ROW(J73)-COUNTBLANK($D$11:M83))</f>
        <v/>
      </c>
      <c r="L83" s="146"/>
      <c r="M83" s="146"/>
      <c r="N83" s="146"/>
      <c r="O83" s="146"/>
      <c r="P83" s="146"/>
      <c r="Q83" s="146"/>
      <c r="R83" s="148"/>
    </row>
    <row r="84" spans="2:18" x14ac:dyDescent="0.2">
      <c r="B84" s="505">
        <f>IF(D84="","",ROW(A74)-COUNTBLANK($D$11:D84))</f>
        <v>7</v>
      </c>
      <c r="C84" s="511">
        <v>44683</v>
      </c>
      <c r="D84" s="146">
        <v>5</v>
      </c>
      <c r="E84" s="146"/>
      <c r="F84" s="146"/>
      <c r="G84" s="146"/>
      <c r="H84" s="146"/>
      <c r="I84" s="148"/>
      <c r="K84" s="505">
        <f ca="1">IF(M84="","",ROW(J74)-COUNTBLANK($D$11:M84))</f>
        <v>6</v>
      </c>
      <c r="L84" s="511">
        <v>44683</v>
      </c>
      <c r="M84" s="146">
        <v>5</v>
      </c>
      <c r="N84" s="146"/>
      <c r="O84" s="146"/>
      <c r="P84" s="146"/>
      <c r="Q84" s="146"/>
      <c r="R84" s="148"/>
    </row>
    <row r="85" spans="2:18" x14ac:dyDescent="0.2">
      <c r="B85" s="505" t="str">
        <f>IF(D85="","",ROW(A75)-COUNTBLANK($D$11:D85))</f>
        <v/>
      </c>
      <c r="C85" s="146"/>
      <c r="D85" s="146"/>
      <c r="E85" s="146"/>
      <c r="F85" s="146"/>
      <c r="G85" s="146"/>
      <c r="H85" s="146"/>
      <c r="I85" s="148"/>
      <c r="K85" s="505" t="str">
        <f>IF(M85="","",ROW(J75)-COUNTBLANK($D$11:M85))</f>
        <v/>
      </c>
      <c r="L85" s="146"/>
      <c r="M85" s="146"/>
      <c r="N85" s="146"/>
      <c r="O85" s="146"/>
      <c r="P85" s="146"/>
      <c r="Q85" s="146"/>
      <c r="R85" s="148"/>
    </row>
    <row r="86" spans="2:18" x14ac:dyDescent="0.2">
      <c r="B86" s="505" t="str">
        <f>IF(D86="","",ROW(A76)-COUNTBLANK($D$11:D86))</f>
        <v/>
      </c>
      <c r="C86" s="146"/>
      <c r="D86" s="146"/>
      <c r="E86" s="146"/>
      <c r="F86" s="146"/>
      <c r="G86" s="146"/>
      <c r="H86" s="146"/>
      <c r="I86" s="148"/>
      <c r="K86" s="505" t="str">
        <f>IF(M86="","",ROW(J76)-COUNTBLANK($D$11:M86))</f>
        <v/>
      </c>
      <c r="L86" s="146"/>
      <c r="M86" s="146"/>
      <c r="N86" s="146"/>
      <c r="O86" s="146"/>
      <c r="P86" s="146"/>
      <c r="Q86" s="146"/>
      <c r="R86" s="148"/>
    </row>
    <row r="87" spans="2:18" x14ac:dyDescent="0.2">
      <c r="B87" s="505" t="str">
        <f>IF(D87="","",ROW(A77)-COUNTBLANK($D$11:D87))</f>
        <v/>
      </c>
      <c r="C87" s="146"/>
      <c r="D87" s="146"/>
      <c r="E87" s="146"/>
      <c r="F87" s="146"/>
      <c r="G87" s="146"/>
      <c r="H87" s="146"/>
      <c r="I87" s="148"/>
      <c r="K87" s="505" t="str">
        <f>IF(M87="","",ROW(J77)-COUNTBLANK($D$11:M87))</f>
        <v/>
      </c>
      <c r="L87" s="146"/>
      <c r="M87" s="146"/>
      <c r="N87" s="146"/>
      <c r="O87" s="146"/>
      <c r="P87" s="146"/>
      <c r="Q87" s="146"/>
      <c r="R87" s="148"/>
    </row>
    <row r="88" spans="2:18" x14ac:dyDescent="0.2">
      <c r="B88" s="505" t="str">
        <f>IF(D88="","",ROW(A78)-COUNTBLANK($D$11:D88))</f>
        <v/>
      </c>
      <c r="C88" s="146"/>
      <c r="D88" s="146"/>
      <c r="E88" s="146"/>
      <c r="F88" s="146"/>
      <c r="G88" s="146"/>
      <c r="H88" s="146"/>
      <c r="I88" s="148"/>
      <c r="K88" s="505" t="str">
        <f>IF(M88="","",ROW(J78)-COUNTBLANK($D$11:M88))</f>
        <v/>
      </c>
      <c r="L88" s="146"/>
      <c r="M88" s="146"/>
      <c r="N88" s="146"/>
      <c r="O88" s="146"/>
      <c r="P88" s="146"/>
      <c r="Q88" s="146"/>
      <c r="R88" s="148"/>
    </row>
    <row r="89" spans="2:18" x14ac:dyDescent="0.2">
      <c r="B89" s="505" t="str">
        <f>IF(D89="","",ROW(A81)-COUNTBLANK($D$11:D89))</f>
        <v/>
      </c>
      <c r="C89" s="146"/>
      <c r="D89" s="146"/>
      <c r="E89" s="146"/>
      <c r="F89" s="146"/>
      <c r="G89" s="146"/>
      <c r="H89" s="146"/>
      <c r="I89" s="148"/>
      <c r="K89" s="505" t="str">
        <f>IF(M89="","",ROW(J81)-COUNTBLANK($D$11:M89))</f>
        <v/>
      </c>
      <c r="L89" s="146"/>
      <c r="M89" s="146"/>
      <c r="N89" s="146"/>
      <c r="O89" s="146"/>
      <c r="P89" s="146"/>
      <c r="Q89" s="146"/>
      <c r="R89" s="148"/>
    </row>
    <row r="90" spans="2:18" x14ac:dyDescent="0.2">
      <c r="B90" s="505" t="str">
        <f>IF(D90="","",ROW(A82)-COUNTBLANK($D$11:D90))</f>
        <v/>
      </c>
      <c r="C90" s="146"/>
      <c r="D90" s="146"/>
      <c r="E90" s="146"/>
      <c r="F90" s="146"/>
      <c r="G90" s="146"/>
      <c r="H90" s="146"/>
      <c r="I90" s="148"/>
      <c r="K90" s="505" t="str">
        <f>IF(M90="","",ROW(J82)-COUNTBLANK($D$11:M90))</f>
        <v/>
      </c>
      <c r="L90" s="146"/>
      <c r="M90" s="146"/>
      <c r="N90" s="146"/>
      <c r="O90" s="146"/>
      <c r="P90" s="146"/>
      <c r="Q90" s="146"/>
      <c r="R90" s="148"/>
    </row>
    <row r="91" spans="2:18" x14ac:dyDescent="0.2">
      <c r="B91" s="505" t="str">
        <f>IF(D91="","",ROW(A83)-COUNTBLANK($D$11:D91))</f>
        <v/>
      </c>
      <c r="C91" s="146"/>
      <c r="D91" s="146"/>
      <c r="E91" s="146"/>
      <c r="F91" s="146"/>
      <c r="G91" s="146"/>
      <c r="H91" s="146"/>
      <c r="I91" s="148"/>
      <c r="K91" s="505" t="str">
        <f>IF(M91="","",ROW(J83)-COUNTBLANK($D$11:M91))</f>
        <v/>
      </c>
      <c r="L91" s="146"/>
      <c r="M91" s="146"/>
      <c r="N91" s="146"/>
      <c r="O91" s="146"/>
      <c r="P91" s="146"/>
      <c r="Q91" s="146"/>
      <c r="R91" s="148"/>
    </row>
    <row r="92" spans="2:18" x14ac:dyDescent="0.2">
      <c r="B92" s="505" t="str">
        <f>IF(D92="","",ROW(A84)-COUNTBLANK($D$11:D92))</f>
        <v/>
      </c>
      <c r="C92" s="146"/>
      <c r="D92" s="146"/>
      <c r="E92" s="146"/>
      <c r="F92" s="146"/>
      <c r="G92" s="146"/>
      <c r="H92" s="146"/>
      <c r="I92" s="148"/>
      <c r="K92" s="505" t="str">
        <f>IF(M92="","",ROW(J84)-COUNTBLANK($D$11:M92))</f>
        <v/>
      </c>
      <c r="L92" s="146"/>
      <c r="M92" s="146"/>
      <c r="N92" s="146"/>
      <c r="O92" s="146"/>
      <c r="P92" s="146"/>
      <c r="Q92" s="146"/>
      <c r="R92" s="148"/>
    </row>
    <row r="93" spans="2:18" x14ac:dyDescent="0.2">
      <c r="B93" s="505" t="str">
        <f>IF(D93="","",ROW(A85)-COUNTBLANK($D$11:D93))</f>
        <v/>
      </c>
      <c r="C93" s="146"/>
      <c r="D93" s="146"/>
      <c r="E93" s="146"/>
      <c r="F93" s="146"/>
      <c r="G93" s="146"/>
      <c r="H93" s="146"/>
      <c r="I93" s="148"/>
      <c r="K93" s="505" t="str">
        <f>IF(M93="","",ROW(J85)-COUNTBLANK($D$11:M93))</f>
        <v/>
      </c>
      <c r="L93" s="146"/>
      <c r="M93" s="146"/>
      <c r="N93" s="146"/>
      <c r="O93" s="146"/>
      <c r="P93" s="146"/>
      <c r="Q93" s="146"/>
      <c r="R93" s="148"/>
    </row>
    <row r="94" spans="2:18" x14ac:dyDescent="0.2">
      <c r="B94" s="505" t="str">
        <f>IF(D94="","",ROW(A86)-COUNTBLANK($D$11:D94))</f>
        <v/>
      </c>
      <c r="C94" s="146"/>
      <c r="D94" s="146"/>
      <c r="E94" s="146"/>
      <c r="F94" s="146"/>
      <c r="G94" s="146"/>
      <c r="H94" s="146"/>
      <c r="I94" s="148"/>
      <c r="K94" s="505" t="str">
        <f>IF(M94="","",ROW(J86)-COUNTBLANK($D$11:M94))</f>
        <v/>
      </c>
      <c r="L94" s="146"/>
      <c r="M94" s="146"/>
      <c r="N94" s="146"/>
      <c r="O94" s="146"/>
      <c r="P94" s="146"/>
      <c r="Q94" s="146"/>
      <c r="R94" s="148"/>
    </row>
    <row r="95" spans="2:18" x14ac:dyDescent="0.2">
      <c r="B95" s="505" t="str">
        <f>IF(D95="","",ROW(A87)-COUNTBLANK($D$11:D95))</f>
        <v/>
      </c>
      <c r="C95" s="146"/>
      <c r="D95" s="146"/>
      <c r="E95" s="146"/>
      <c r="F95" s="146"/>
      <c r="G95" s="146"/>
      <c r="H95" s="146"/>
      <c r="I95" s="148"/>
      <c r="K95" s="505" t="str">
        <f>IF(M95="","",ROW(J87)-COUNTBLANK($D$11:M95))</f>
        <v/>
      </c>
      <c r="L95" s="146"/>
      <c r="M95" s="146"/>
      <c r="N95" s="146"/>
      <c r="O95" s="146"/>
      <c r="P95" s="146"/>
      <c r="Q95" s="146"/>
      <c r="R95" s="148"/>
    </row>
    <row r="96" spans="2:18" x14ac:dyDescent="0.2">
      <c r="B96" s="505" t="str">
        <f>IF(D96="","",ROW(A88)-COUNTBLANK($D$11:D96))</f>
        <v/>
      </c>
      <c r="C96" s="146"/>
      <c r="D96" s="146"/>
      <c r="E96" s="146"/>
      <c r="F96" s="146"/>
      <c r="G96" s="146"/>
      <c r="H96" s="146"/>
      <c r="I96" s="148"/>
      <c r="K96" s="505" t="str">
        <f>IF(M96="","",ROW(J88)-COUNTBLANK($D$11:M96))</f>
        <v/>
      </c>
      <c r="L96" s="146"/>
      <c r="M96" s="146"/>
      <c r="N96" s="146"/>
      <c r="O96" s="146"/>
      <c r="P96" s="146"/>
      <c r="Q96" s="146"/>
      <c r="R96" s="148"/>
    </row>
    <row r="97" spans="2:18" x14ac:dyDescent="0.2">
      <c r="B97" s="505" t="str">
        <f>IF(D97="","",ROW(A89)-COUNTBLANK($D$11:D97))</f>
        <v/>
      </c>
      <c r="C97" s="146"/>
      <c r="D97" s="146"/>
      <c r="E97" s="146"/>
      <c r="F97" s="146"/>
      <c r="G97" s="146"/>
      <c r="H97" s="146"/>
      <c r="I97" s="148"/>
      <c r="K97" s="505" t="str">
        <f>IF(M97="","",ROW(J89)-COUNTBLANK($D$11:M97))</f>
        <v/>
      </c>
      <c r="L97" s="146"/>
      <c r="M97" s="146"/>
      <c r="N97" s="146"/>
      <c r="O97" s="146"/>
      <c r="P97" s="146"/>
      <c r="Q97" s="146"/>
      <c r="R97" s="148"/>
    </row>
    <row r="98" spans="2:18" x14ac:dyDescent="0.2">
      <c r="B98" s="505" t="str">
        <f>IF(D98="","",ROW(A90)-COUNTBLANK($D$11:D98))</f>
        <v/>
      </c>
      <c r="C98" s="146"/>
      <c r="D98" s="146"/>
      <c r="E98" s="146"/>
      <c r="F98" s="146"/>
      <c r="G98" s="146"/>
      <c r="H98" s="146"/>
      <c r="I98" s="148"/>
      <c r="K98" s="505" t="str">
        <f>IF(M98="","",ROW(J90)-COUNTBLANK($D$11:M98))</f>
        <v/>
      </c>
      <c r="L98" s="146"/>
      <c r="M98" s="146"/>
      <c r="N98" s="146"/>
      <c r="O98" s="146"/>
      <c r="P98" s="146"/>
      <c r="Q98" s="146"/>
      <c r="R98" s="148"/>
    </row>
    <row r="99" spans="2:18" x14ac:dyDescent="0.2">
      <c r="B99" s="505" t="str">
        <f>IF(D99="","",ROW(A91)-COUNTBLANK($D$11:D99))</f>
        <v/>
      </c>
      <c r="C99" s="146"/>
      <c r="D99" s="146"/>
      <c r="E99" s="146"/>
      <c r="F99" s="146"/>
      <c r="G99" s="146"/>
      <c r="H99" s="146"/>
      <c r="I99" s="148"/>
      <c r="K99" s="505" t="str">
        <f>IF(M99="","",ROW(J91)-COUNTBLANK($D$11:M99))</f>
        <v/>
      </c>
      <c r="L99" s="146"/>
      <c r="M99" s="146"/>
      <c r="N99" s="146"/>
      <c r="O99" s="146"/>
      <c r="P99" s="146"/>
      <c r="Q99" s="146"/>
      <c r="R99" s="148"/>
    </row>
    <row r="100" spans="2:18" x14ac:dyDescent="0.2">
      <c r="B100" s="505" t="str">
        <f>IF(D100="","",ROW(A92)-COUNTBLANK($D$11:D100))</f>
        <v/>
      </c>
      <c r="C100" s="146"/>
      <c r="D100" s="146"/>
      <c r="E100" s="146"/>
      <c r="F100" s="146"/>
      <c r="G100" s="146"/>
      <c r="H100" s="146"/>
      <c r="I100" s="148"/>
      <c r="K100" s="505" t="str">
        <f>IF(M100="","",ROW(J92)-COUNTBLANK($D$11:M100))</f>
        <v/>
      </c>
      <c r="L100" s="146"/>
      <c r="M100" s="146"/>
      <c r="N100" s="146"/>
      <c r="O100" s="146"/>
      <c r="P100" s="146"/>
      <c r="Q100" s="146"/>
      <c r="R100" s="148"/>
    </row>
    <row r="101" spans="2:18" x14ac:dyDescent="0.2">
      <c r="B101" s="505" t="str">
        <f>IF(D101="","",ROW(A93)-COUNTBLANK($D$11:D101))</f>
        <v/>
      </c>
      <c r="C101" s="146"/>
      <c r="D101" s="146"/>
      <c r="E101" s="146"/>
      <c r="F101" s="146"/>
      <c r="G101" s="146"/>
      <c r="H101" s="146"/>
      <c r="I101" s="148"/>
      <c r="K101" s="505" t="str">
        <f>IF(M101="","",ROW(J93)-COUNTBLANK($D$11:M101))</f>
        <v/>
      </c>
      <c r="L101" s="146"/>
      <c r="M101" s="146"/>
      <c r="N101" s="146"/>
      <c r="O101" s="146"/>
      <c r="P101" s="146"/>
      <c r="Q101" s="146"/>
      <c r="R101" s="148"/>
    </row>
    <row r="102" spans="2:18" x14ac:dyDescent="0.2">
      <c r="B102" s="505" t="str">
        <f>IF(D102="","",ROW(A94)-COUNTBLANK($D$11:D102))</f>
        <v/>
      </c>
      <c r="C102" s="146"/>
      <c r="D102" s="146"/>
      <c r="E102" s="146"/>
      <c r="F102" s="146"/>
      <c r="G102" s="146"/>
      <c r="H102" s="146"/>
      <c r="I102" s="148"/>
      <c r="K102" s="505" t="str">
        <f>IF(M102="","",ROW(J94)-COUNTBLANK($D$11:M102))</f>
        <v/>
      </c>
      <c r="L102" s="146"/>
      <c r="M102" s="146"/>
      <c r="N102" s="146"/>
      <c r="O102" s="146"/>
      <c r="P102" s="146"/>
      <c r="Q102" s="146"/>
      <c r="R102" s="148"/>
    </row>
    <row r="103" spans="2:18" x14ac:dyDescent="0.2">
      <c r="B103" s="505" t="str">
        <f>IF(D103="","",ROW(A95)-COUNTBLANK($D$11:D103))</f>
        <v/>
      </c>
      <c r="C103" s="146"/>
      <c r="D103" s="146"/>
      <c r="E103" s="146"/>
      <c r="F103" s="146"/>
      <c r="G103" s="146"/>
      <c r="H103" s="146"/>
      <c r="I103" s="148"/>
      <c r="K103" s="505" t="str">
        <f>IF(M103="","",ROW(J95)-COUNTBLANK($D$11:M103))</f>
        <v/>
      </c>
      <c r="L103" s="146"/>
      <c r="M103" s="146"/>
      <c r="N103" s="146"/>
      <c r="O103" s="146"/>
      <c r="P103" s="146"/>
      <c r="Q103" s="146"/>
      <c r="R103" s="148"/>
    </row>
    <row r="104" spans="2:18" x14ac:dyDescent="0.2">
      <c r="B104" s="505" t="str">
        <f>IF(D104="","",ROW(A96)-COUNTBLANK($D$11:D104))</f>
        <v/>
      </c>
      <c r="C104" s="146"/>
      <c r="D104" s="146"/>
      <c r="E104" s="146"/>
      <c r="F104" s="146"/>
      <c r="G104" s="146"/>
      <c r="H104" s="146"/>
      <c r="I104" s="148"/>
      <c r="K104" s="505" t="str">
        <f>IF(M104="","",ROW(J96)-COUNTBLANK($D$11:M104))</f>
        <v/>
      </c>
      <c r="L104" s="146"/>
      <c r="M104" s="146"/>
      <c r="N104" s="146"/>
      <c r="O104" s="146"/>
      <c r="P104" s="146"/>
      <c r="Q104" s="146"/>
      <c r="R104" s="148"/>
    </row>
    <row r="105" spans="2:18" x14ac:dyDescent="0.2">
      <c r="B105" s="505" t="str">
        <f>IF(D105="","",ROW(A97)-COUNTBLANK($D$11:D105))</f>
        <v/>
      </c>
      <c r="C105" s="146"/>
      <c r="D105" s="146"/>
      <c r="E105" s="146"/>
      <c r="F105" s="146"/>
      <c r="G105" s="146"/>
      <c r="H105" s="146"/>
      <c r="I105" s="148"/>
      <c r="K105" s="505" t="str">
        <f>IF(M105="","",ROW(J97)-COUNTBLANK($D$11:M105))</f>
        <v/>
      </c>
      <c r="L105" s="146"/>
      <c r="M105" s="146"/>
      <c r="N105" s="146"/>
      <c r="O105" s="146"/>
      <c r="P105" s="146"/>
      <c r="Q105" s="146"/>
      <c r="R105" s="148"/>
    </row>
    <row r="106" spans="2:18" x14ac:dyDescent="0.2">
      <c r="B106" s="505" t="str">
        <f>IF(D106="","",ROW(A98)-COUNTBLANK($D$11:D106))</f>
        <v/>
      </c>
      <c r="C106" s="146"/>
      <c r="D106" s="146"/>
      <c r="E106" s="146"/>
      <c r="F106" s="146"/>
      <c r="G106" s="146"/>
      <c r="H106" s="146"/>
      <c r="I106" s="148"/>
      <c r="K106" s="505" t="str">
        <f>IF(M106="","",ROW(J98)-COUNTBLANK($D$11:M106))</f>
        <v/>
      </c>
      <c r="L106" s="146"/>
      <c r="M106" s="146"/>
      <c r="N106" s="146"/>
      <c r="O106" s="146"/>
      <c r="P106" s="146"/>
      <c r="Q106" s="146"/>
      <c r="R106" s="148"/>
    </row>
    <row r="107" spans="2:18" x14ac:dyDescent="0.2">
      <c r="B107" s="505" t="str">
        <f>IF(D107="","",ROW(A99)-COUNTBLANK($D$11:D107))</f>
        <v/>
      </c>
      <c r="C107" s="146"/>
      <c r="D107" s="146"/>
      <c r="E107" s="146"/>
      <c r="F107" s="146"/>
      <c r="G107" s="146"/>
      <c r="H107" s="146"/>
      <c r="I107" s="148"/>
      <c r="K107" s="505" t="str">
        <f>IF(M107="","",ROW(J99)-COUNTBLANK($D$11:M107))</f>
        <v/>
      </c>
      <c r="L107" s="146"/>
      <c r="M107" s="146"/>
      <c r="N107" s="146"/>
      <c r="O107" s="146"/>
      <c r="P107" s="146"/>
      <c r="Q107" s="146"/>
      <c r="R107" s="148"/>
    </row>
    <row r="108" spans="2:18" x14ac:dyDescent="0.2">
      <c r="B108" s="505" t="str">
        <f>IF(D108="","",ROW(A100)-COUNTBLANK($D$11:D108))</f>
        <v/>
      </c>
      <c r="C108" s="146"/>
      <c r="D108" s="146"/>
      <c r="E108" s="146"/>
      <c r="F108" s="146"/>
      <c r="G108" s="146"/>
      <c r="H108" s="146"/>
      <c r="I108" s="148"/>
      <c r="K108" s="505" t="str">
        <f>IF(M108="","",ROW(J100)-COUNTBLANK($D$11:M108))</f>
        <v/>
      </c>
      <c r="L108" s="146"/>
      <c r="M108" s="146"/>
      <c r="N108" s="146"/>
      <c r="O108" s="146"/>
      <c r="P108" s="146"/>
      <c r="Q108" s="146"/>
      <c r="R108" s="148"/>
    </row>
    <row r="109" spans="2:18" x14ac:dyDescent="0.2">
      <c r="B109" s="505" t="str">
        <f>IF(D109="","",ROW(A101)-COUNTBLANK($D$11:D109))</f>
        <v/>
      </c>
      <c r="C109" s="146"/>
      <c r="D109" s="146"/>
      <c r="E109" s="146"/>
      <c r="F109" s="146"/>
      <c r="G109" s="146"/>
      <c r="H109" s="146"/>
      <c r="I109" s="148"/>
      <c r="K109" s="505" t="str">
        <f>IF(M109="","",ROW(J101)-COUNTBLANK($D$11:M109))</f>
        <v/>
      </c>
      <c r="L109" s="146"/>
      <c r="M109" s="146"/>
      <c r="N109" s="146"/>
      <c r="O109" s="146"/>
      <c r="P109" s="146"/>
      <c r="Q109" s="146"/>
      <c r="R109" s="148"/>
    </row>
    <row r="110" spans="2:18" x14ac:dyDescent="0.2">
      <c r="B110" s="505" t="str">
        <f>IF(D110="","",ROW(A102)-COUNTBLANK($D$11:D110))</f>
        <v/>
      </c>
      <c r="C110" s="146"/>
      <c r="D110" s="146"/>
      <c r="E110" s="146"/>
      <c r="F110" s="146"/>
      <c r="G110" s="146"/>
      <c r="H110" s="146"/>
      <c r="I110" s="148"/>
      <c r="K110" s="505" t="str">
        <f>IF(M110="","",ROW(J102)-COUNTBLANK($D$11:M110))</f>
        <v/>
      </c>
      <c r="L110" s="146"/>
      <c r="M110" s="146"/>
      <c r="N110" s="146"/>
      <c r="O110" s="146"/>
      <c r="P110" s="146"/>
      <c r="Q110" s="146"/>
      <c r="R110" s="148"/>
    </row>
    <row r="111" spans="2:18" x14ac:dyDescent="0.2">
      <c r="B111" s="505" t="str">
        <f>IF(D111="","",ROW(A103)-COUNTBLANK($D$11:D111))</f>
        <v/>
      </c>
      <c r="C111" s="146"/>
      <c r="D111" s="146"/>
      <c r="E111" s="146"/>
      <c r="F111" s="146"/>
      <c r="G111" s="146"/>
      <c r="H111" s="146"/>
      <c r="I111" s="148"/>
      <c r="K111" s="505" t="str">
        <f>IF(M111="","",ROW(J103)-COUNTBLANK($D$11:M111))</f>
        <v/>
      </c>
      <c r="L111" s="146"/>
      <c r="M111" s="146"/>
      <c r="N111" s="146"/>
      <c r="O111" s="146"/>
      <c r="P111" s="146"/>
      <c r="Q111" s="146"/>
      <c r="R111" s="148"/>
    </row>
    <row r="112" spans="2:18" ht="13.5" thickBot="1" x14ac:dyDescent="0.25">
      <c r="B112" s="184">
        <f>COUNTA(B81:B93)-COUNTBLANK(B81:B93)</f>
        <v>2</v>
      </c>
      <c r="C112" s="150"/>
      <c r="D112" s="150"/>
      <c r="E112" s="150"/>
      <c r="F112" s="150"/>
      <c r="G112" s="150"/>
      <c r="H112" s="150"/>
      <c r="I112" s="151"/>
      <c r="K112" s="184">
        <f ca="1">COUNTA(K81:K93)-COUNTBLANK(K81:K93)</f>
        <v>2</v>
      </c>
      <c r="L112" s="150"/>
      <c r="M112" s="150"/>
      <c r="N112" s="150"/>
      <c r="O112" s="150"/>
      <c r="P112" s="150"/>
      <c r="Q112" s="150"/>
      <c r="R112" s="151"/>
    </row>
    <row r="115" spans="2:18" x14ac:dyDescent="0.2">
      <c r="B115" s="688" t="s">
        <v>620</v>
      </c>
      <c r="C115" s="689"/>
      <c r="D115" s="689"/>
      <c r="E115" s="689"/>
      <c r="F115" s="689"/>
      <c r="G115" s="689"/>
      <c r="H115" s="689"/>
      <c r="I115" s="690"/>
      <c r="K115" s="688" t="s">
        <v>620</v>
      </c>
      <c r="L115" s="689"/>
      <c r="M115" s="689"/>
      <c r="N115" s="689"/>
      <c r="O115" s="689"/>
      <c r="P115" s="689"/>
      <c r="Q115" s="689"/>
      <c r="R115" s="690"/>
    </row>
    <row r="116" spans="2:18" x14ac:dyDescent="0.2">
      <c r="B116" s="514">
        <f>IF(D116="","",ROW(A106)-COUNTBLANK($D$11:D116))</f>
        <v>8</v>
      </c>
      <c r="C116" s="511">
        <v>44679</v>
      </c>
      <c r="D116" s="146">
        <v>7</v>
      </c>
      <c r="E116" s="503" t="s">
        <v>299</v>
      </c>
      <c r="F116" s="146"/>
      <c r="G116" s="146"/>
      <c r="H116" s="146"/>
      <c r="I116" s="148"/>
      <c r="K116" s="514">
        <f ca="1">IF(M116="","",ROW(J106)-COUNTBLANK($D$11:M116))</f>
        <v>7</v>
      </c>
      <c r="L116" s="511">
        <v>44679</v>
      </c>
      <c r="M116" s="146">
        <v>7</v>
      </c>
      <c r="N116" s="503" t="s">
        <v>299</v>
      </c>
      <c r="O116" s="146"/>
      <c r="P116" s="146"/>
      <c r="Q116" s="146"/>
      <c r="R116" s="148"/>
    </row>
    <row r="117" spans="2:18" x14ac:dyDescent="0.2">
      <c r="B117" s="505" t="str">
        <f>IF(D117="","",ROW(A107)-COUNTBLANK($D$11:D117))</f>
        <v/>
      </c>
      <c r="C117" s="146"/>
      <c r="D117" s="146"/>
      <c r="E117" s="146"/>
      <c r="F117" s="146"/>
      <c r="G117" s="146"/>
      <c r="H117" s="146"/>
      <c r="I117" s="148"/>
      <c r="K117" s="505" t="str">
        <f>IF(M117="","",ROW(J107)-COUNTBLANK($D$11:M117))</f>
        <v/>
      </c>
      <c r="L117" s="146"/>
      <c r="M117" s="146"/>
      <c r="N117" s="146"/>
      <c r="O117" s="146"/>
      <c r="P117" s="146"/>
      <c r="Q117" s="146"/>
      <c r="R117" s="148"/>
    </row>
    <row r="118" spans="2:18" x14ac:dyDescent="0.2">
      <c r="B118" s="505" t="str">
        <f>IF(D118="","",ROW(A108)-COUNTBLANK($D$11:D118))</f>
        <v/>
      </c>
      <c r="C118" s="146"/>
      <c r="D118" s="146"/>
      <c r="E118" s="146"/>
      <c r="F118" s="146"/>
      <c r="G118" s="146"/>
      <c r="H118" s="146"/>
      <c r="I118" s="148"/>
      <c r="K118" s="505" t="str">
        <f>IF(M118="","",ROW(J108)-COUNTBLANK($D$11:M118))</f>
        <v/>
      </c>
      <c r="L118" s="146"/>
      <c r="M118" s="146"/>
      <c r="N118" s="146"/>
      <c r="O118" s="146"/>
      <c r="P118" s="146"/>
      <c r="Q118" s="146"/>
      <c r="R118" s="148"/>
    </row>
    <row r="119" spans="2:18" x14ac:dyDescent="0.2">
      <c r="B119" s="505">
        <f>IF(D119="","",ROW(A109)-COUNTBLANK($D$11:D119))</f>
        <v>9</v>
      </c>
      <c r="C119" s="511">
        <v>44683</v>
      </c>
      <c r="D119" s="146">
        <v>5</v>
      </c>
      <c r="E119" s="146"/>
      <c r="F119" s="146"/>
      <c r="G119" s="146"/>
      <c r="H119" s="146"/>
      <c r="I119" s="148"/>
      <c r="K119" s="505">
        <f ca="1">IF(M119="","",ROW(J109)-COUNTBLANK($D$11:M119))</f>
        <v>8</v>
      </c>
      <c r="L119" s="511">
        <v>44683</v>
      </c>
      <c r="M119" s="146">
        <v>5</v>
      </c>
      <c r="N119" s="146"/>
      <c r="O119" s="146"/>
      <c r="P119" s="146"/>
      <c r="Q119" s="146"/>
      <c r="R119" s="148"/>
    </row>
    <row r="120" spans="2:18" x14ac:dyDescent="0.2">
      <c r="B120" s="505" t="str">
        <f>IF(D120="","",ROW(A110)-COUNTBLANK($D$11:D120))</f>
        <v/>
      </c>
      <c r="C120" s="146"/>
      <c r="D120" s="146"/>
      <c r="E120" s="146"/>
      <c r="F120" s="146"/>
      <c r="G120" s="146"/>
      <c r="H120" s="146"/>
      <c r="I120" s="148"/>
      <c r="K120" s="505" t="str">
        <f>IF(M120="","",ROW(J110)-COUNTBLANK($D$11:M120))</f>
        <v/>
      </c>
      <c r="L120" s="146"/>
      <c r="M120" s="146"/>
      <c r="N120" s="146"/>
      <c r="O120" s="146"/>
      <c r="P120" s="146"/>
      <c r="Q120" s="146"/>
      <c r="R120" s="148"/>
    </row>
    <row r="121" spans="2:18" x14ac:dyDescent="0.2">
      <c r="B121" s="505" t="str">
        <f>IF(D121="","",ROW(A111)-COUNTBLANK($D$11:D121))</f>
        <v/>
      </c>
      <c r="C121" s="146"/>
      <c r="D121" s="146"/>
      <c r="E121" s="146"/>
      <c r="F121" s="146"/>
      <c r="G121" s="146"/>
      <c r="H121" s="146"/>
      <c r="I121" s="148"/>
      <c r="K121" s="505" t="str">
        <f>IF(M121="","",ROW(J111)-COUNTBLANK($D$11:M121))</f>
        <v/>
      </c>
      <c r="L121" s="146"/>
      <c r="M121" s="146"/>
      <c r="N121" s="146"/>
      <c r="O121" s="146"/>
      <c r="P121" s="146"/>
      <c r="Q121" s="146"/>
      <c r="R121" s="148"/>
    </row>
    <row r="122" spans="2:18" x14ac:dyDescent="0.2">
      <c r="B122" s="505" t="str">
        <f>IF(D122="","",ROW(A112)-COUNTBLANK($D$11:D122))</f>
        <v/>
      </c>
      <c r="C122" s="146"/>
      <c r="D122" s="146"/>
      <c r="E122" s="146"/>
      <c r="F122" s="146"/>
      <c r="G122" s="146"/>
      <c r="H122" s="146"/>
      <c r="I122" s="148"/>
      <c r="K122" s="505" t="str">
        <f>IF(M122="","",ROW(J112)-COUNTBLANK($D$11:M122))</f>
        <v/>
      </c>
      <c r="L122" s="146"/>
      <c r="M122" s="146"/>
      <c r="N122" s="146"/>
      <c r="O122" s="146"/>
      <c r="P122" s="146"/>
      <c r="Q122" s="146"/>
      <c r="R122" s="148"/>
    </row>
    <row r="123" spans="2:18" x14ac:dyDescent="0.2">
      <c r="B123" s="505" t="str">
        <f>IF(D123="","",ROW(A113)-COUNTBLANK($D$11:D123))</f>
        <v/>
      </c>
      <c r="C123" s="146"/>
      <c r="D123" s="146"/>
      <c r="E123" s="146"/>
      <c r="F123" s="146"/>
      <c r="G123" s="146"/>
      <c r="H123" s="146"/>
      <c r="I123" s="148"/>
      <c r="K123" s="505" t="str">
        <f>IF(M123="","",ROW(J113)-COUNTBLANK($D$11:M123))</f>
        <v/>
      </c>
      <c r="L123" s="146"/>
      <c r="M123" s="146"/>
      <c r="N123" s="146"/>
      <c r="O123" s="146"/>
      <c r="P123" s="146"/>
      <c r="Q123" s="146"/>
      <c r="R123" s="148"/>
    </row>
    <row r="124" spans="2:18" x14ac:dyDescent="0.2">
      <c r="B124" s="505" t="str">
        <f>IF(D124="","",ROW(A116)-COUNTBLANK($D$11:D124))</f>
        <v/>
      </c>
      <c r="C124" s="146"/>
      <c r="D124" s="146"/>
      <c r="E124" s="146"/>
      <c r="F124" s="146"/>
      <c r="G124" s="146"/>
      <c r="H124" s="146"/>
      <c r="I124" s="148"/>
      <c r="K124" s="505" t="str">
        <f>IF(M124="","",ROW(J116)-COUNTBLANK($D$11:M124))</f>
        <v/>
      </c>
      <c r="L124" s="146"/>
      <c r="M124" s="146"/>
      <c r="N124" s="146"/>
      <c r="O124" s="146"/>
      <c r="P124" s="146"/>
      <c r="Q124" s="146"/>
      <c r="R124" s="148"/>
    </row>
    <row r="125" spans="2:18" x14ac:dyDescent="0.2">
      <c r="B125" s="505" t="str">
        <f>IF(D125="","",ROW(A117)-COUNTBLANK($D$11:D125))</f>
        <v/>
      </c>
      <c r="C125" s="146"/>
      <c r="D125" s="146"/>
      <c r="E125" s="146"/>
      <c r="F125" s="146"/>
      <c r="G125" s="146"/>
      <c r="H125" s="146"/>
      <c r="I125" s="148"/>
      <c r="K125" s="505" t="str">
        <f>IF(M125="","",ROW(J117)-COUNTBLANK($D$11:M125))</f>
        <v/>
      </c>
      <c r="L125" s="146"/>
      <c r="M125" s="146"/>
      <c r="N125" s="146"/>
      <c r="O125" s="146"/>
      <c r="P125" s="146"/>
      <c r="Q125" s="146"/>
      <c r="R125" s="148"/>
    </row>
    <row r="126" spans="2:18" x14ac:dyDescent="0.2">
      <c r="B126" s="505" t="str">
        <f>IF(D126="","",ROW(A118)-COUNTBLANK($D$11:D126))</f>
        <v/>
      </c>
      <c r="C126" s="146"/>
      <c r="D126" s="146"/>
      <c r="E126" s="146"/>
      <c r="F126" s="146"/>
      <c r="G126" s="146"/>
      <c r="H126" s="146"/>
      <c r="I126" s="148"/>
      <c r="K126" s="505" t="str">
        <f>IF(M126="","",ROW(J118)-COUNTBLANK($D$11:M126))</f>
        <v/>
      </c>
      <c r="L126" s="146"/>
      <c r="M126" s="146"/>
      <c r="N126" s="146"/>
      <c r="O126" s="146"/>
      <c r="P126" s="146"/>
      <c r="Q126" s="146"/>
      <c r="R126" s="148"/>
    </row>
    <row r="127" spans="2:18" x14ac:dyDescent="0.2">
      <c r="B127" s="505" t="str">
        <f>IF(D127="","",ROW(A119)-COUNTBLANK($D$11:D127))</f>
        <v/>
      </c>
      <c r="C127" s="146"/>
      <c r="D127" s="146"/>
      <c r="E127" s="146"/>
      <c r="F127" s="146"/>
      <c r="G127" s="146"/>
      <c r="H127" s="146"/>
      <c r="I127" s="148"/>
      <c r="K127" s="505" t="str">
        <f>IF(M127="","",ROW(J119)-COUNTBLANK($D$11:M127))</f>
        <v/>
      </c>
      <c r="L127" s="146"/>
      <c r="M127" s="146"/>
      <c r="N127" s="146"/>
      <c r="O127" s="146"/>
      <c r="P127" s="146"/>
      <c r="Q127" s="146"/>
      <c r="R127" s="148"/>
    </row>
    <row r="128" spans="2:18" x14ac:dyDescent="0.2">
      <c r="B128" s="505" t="str">
        <f>IF(D128="","",ROW(A120)-COUNTBLANK($D$11:D128))</f>
        <v/>
      </c>
      <c r="C128" s="146"/>
      <c r="D128" s="146"/>
      <c r="E128" s="146"/>
      <c r="F128" s="146"/>
      <c r="G128" s="146"/>
      <c r="H128" s="146"/>
      <c r="I128" s="148"/>
      <c r="K128" s="505" t="str">
        <f>IF(M128="","",ROW(J120)-COUNTBLANK($D$11:M128))</f>
        <v/>
      </c>
      <c r="L128" s="146"/>
      <c r="M128" s="146"/>
      <c r="N128" s="146"/>
      <c r="O128" s="146"/>
      <c r="P128" s="146"/>
      <c r="Q128" s="146"/>
      <c r="R128" s="148"/>
    </row>
    <row r="129" spans="2:18" x14ac:dyDescent="0.2">
      <c r="B129" s="505" t="str">
        <f>IF(D129="","",ROW(A121)-COUNTBLANK($D$11:D129))</f>
        <v/>
      </c>
      <c r="C129" s="146"/>
      <c r="D129" s="146"/>
      <c r="E129" s="146"/>
      <c r="F129" s="146"/>
      <c r="G129" s="146"/>
      <c r="H129" s="146"/>
      <c r="I129" s="148"/>
      <c r="K129" s="505" t="str">
        <f>IF(M129="","",ROW(J121)-COUNTBLANK($D$11:M129))</f>
        <v/>
      </c>
      <c r="L129" s="146"/>
      <c r="M129" s="146"/>
      <c r="N129" s="146"/>
      <c r="O129" s="146"/>
      <c r="P129" s="146"/>
      <c r="Q129" s="146"/>
      <c r="R129" s="148"/>
    </row>
    <row r="130" spans="2:18" x14ac:dyDescent="0.2">
      <c r="B130" s="505" t="str">
        <f>IF(D130="","",ROW(A122)-COUNTBLANK($D$11:D130))</f>
        <v/>
      </c>
      <c r="C130" s="146"/>
      <c r="D130" s="146"/>
      <c r="E130" s="146"/>
      <c r="F130" s="146"/>
      <c r="G130" s="146"/>
      <c r="H130" s="146"/>
      <c r="I130" s="148"/>
      <c r="K130" s="505" t="str">
        <f>IF(M130="","",ROW(J122)-COUNTBLANK($D$11:M130))</f>
        <v/>
      </c>
      <c r="L130" s="146"/>
      <c r="M130" s="146"/>
      <c r="N130" s="146"/>
      <c r="O130" s="146"/>
      <c r="P130" s="146"/>
      <c r="Q130" s="146"/>
      <c r="R130" s="148"/>
    </row>
    <row r="131" spans="2:18" x14ac:dyDescent="0.2">
      <c r="B131" s="505" t="str">
        <f>IF(D131="","",ROW(A123)-COUNTBLANK($D$11:D131))</f>
        <v/>
      </c>
      <c r="C131" s="146"/>
      <c r="D131" s="146"/>
      <c r="E131" s="146"/>
      <c r="F131" s="146"/>
      <c r="G131" s="146"/>
      <c r="H131" s="146"/>
      <c r="I131" s="148"/>
      <c r="K131" s="505" t="str">
        <f>IF(M131="","",ROW(J123)-COUNTBLANK($D$11:M131))</f>
        <v/>
      </c>
      <c r="L131" s="146"/>
      <c r="M131" s="146"/>
      <c r="N131" s="146"/>
      <c r="O131" s="146"/>
      <c r="P131" s="146"/>
      <c r="Q131" s="146"/>
      <c r="R131" s="148"/>
    </row>
    <row r="132" spans="2:18" x14ac:dyDescent="0.2">
      <c r="B132" s="505" t="str">
        <f>IF(D132="","",ROW(A124)-COUNTBLANK($D$11:D132))</f>
        <v/>
      </c>
      <c r="C132" s="146"/>
      <c r="D132" s="146"/>
      <c r="E132" s="146"/>
      <c r="F132" s="146"/>
      <c r="G132" s="146"/>
      <c r="H132" s="146"/>
      <c r="I132" s="148"/>
      <c r="K132" s="505" t="str">
        <f>IF(M132="","",ROW(J124)-COUNTBLANK($D$11:M132))</f>
        <v/>
      </c>
      <c r="L132" s="146"/>
      <c r="M132" s="146"/>
      <c r="N132" s="146"/>
      <c r="O132" s="146"/>
      <c r="P132" s="146"/>
      <c r="Q132" s="146"/>
      <c r="R132" s="148"/>
    </row>
    <row r="133" spans="2:18" x14ac:dyDescent="0.2">
      <c r="B133" s="505" t="str">
        <f>IF(D133="","",ROW(A125)-COUNTBLANK($D$11:D133))</f>
        <v/>
      </c>
      <c r="C133" s="146"/>
      <c r="D133" s="146"/>
      <c r="E133" s="146"/>
      <c r="F133" s="146"/>
      <c r="G133" s="146"/>
      <c r="H133" s="146"/>
      <c r="I133" s="148"/>
      <c r="K133" s="505" t="str">
        <f>IF(M133="","",ROW(J125)-COUNTBLANK($D$11:M133))</f>
        <v/>
      </c>
      <c r="L133" s="146"/>
      <c r="M133" s="146"/>
      <c r="N133" s="146"/>
      <c r="O133" s="146"/>
      <c r="P133" s="146"/>
      <c r="Q133" s="146"/>
      <c r="R133" s="148"/>
    </row>
    <row r="134" spans="2:18" x14ac:dyDescent="0.2">
      <c r="B134" s="505" t="str">
        <f>IF(D134="","",ROW(A126)-COUNTBLANK($D$11:D134))</f>
        <v/>
      </c>
      <c r="C134" s="146"/>
      <c r="D134" s="146"/>
      <c r="E134" s="146"/>
      <c r="F134" s="146"/>
      <c r="G134" s="146"/>
      <c r="H134" s="146"/>
      <c r="I134" s="148"/>
      <c r="K134" s="505" t="str">
        <f>IF(M134="","",ROW(J126)-COUNTBLANK($D$11:M134))</f>
        <v/>
      </c>
      <c r="L134" s="146"/>
      <c r="M134" s="146"/>
      <c r="N134" s="146"/>
      <c r="O134" s="146"/>
      <c r="P134" s="146"/>
      <c r="Q134" s="146"/>
      <c r="R134" s="148"/>
    </row>
    <row r="135" spans="2:18" x14ac:dyDescent="0.2">
      <c r="B135" s="505" t="str">
        <f>IF(D135="","",ROW(A127)-COUNTBLANK($D$11:D135))</f>
        <v/>
      </c>
      <c r="C135" s="146"/>
      <c r="D135" s="146"/>
      <c r="E135" s="146"/>
      <c r="F135" s="146"/>
      <c r="G135" s="146"/>
      <c r="H135" s="146"/>
      <c r="I135" s="148"/>
      <c r="K135" s="505" t="str">
        <f>IF(M135="","",ROW(J127)-COUNTBLANK($D$11:M135))</f>
        <v/>
      </c>
      <c r="L135" s="146"/>
      <c r="M135" s="146"/>
      <c r="N135" s="146"/>
      <c r="O135" s="146"/>
      <c r="P135" s="146"/>
      <c r="Q135" s="146"/>
      <c r="R135" s="148"/>
    </row>
    <row r="136" spans="2:18" x14ac:dyDescent="0.2">
      <c r="B136" s="505" t="str">
        <f>IF(D136="","",ROW(A128)-COUNTBLANK($D$11:D136))</f>
        <v/>
      </c>
      <c r="C136" s="146"/>
      <c r="D136" s="146"/>
      <c r="E136" s="146"/>
      <c r="F136" s="146"/>
      <c r="G136" s="146"/>
      <c r="H136" s="146"/>
      <c r="I136" s="148"/>
      <c r="K136" s="505" t="str">
        <f>IF(M136="","",ROW(J128)-COUNTBLANK($D$11:M136))</f>
        <v/>
      </c>
      <c r="L136" s="146"/>
      <c r="M136" s="146"/>
      <c r="N136" s="146"/>
      <c r="O136" s="146"/>
      <c r="P136" s="146"/>
      <c r="Q136" s="146"/>
      <c r="R136" s="148"/>
    </row>
    <row r="137" spans="2:18" x14ac:dyDescent="0.2">
      <c r="B137" s="505" t="str">
        <f>IF(D137="","",ROW(A129)-COUNTBLANK($D$11:D137))</f>
        <v/>
      </c>
      <c r="C137" s="146"/>
      <c r="D137" s="146"/>
      <c r="E137" s="146"/>
      <c r="F137" s="146"/>
      <c r="G137" s="146"/>
      <c r="H137" s="146"/>
      <c r="I137" s="148"/>
      <c r="K137" s="505" t="str">
        <f>IF(M137="","",ROW(J129)-COUNTBLANK($D$11:M137))</f>
        <v/>
      </c>
      <c r="L137" s="146"/>
      <c r="M137" s="146"/>
      <c r="N137" s="146"/>
      <c r="O137" s="146"/>
      <c r="P137" s="146"/>
      <c r="Q137" s="146"/>
      <c r="R137" s="148"/>
    </row>
    <row r="138" spans="2:18" x14ac:dyDescent="0.2">
      <c r="B138" s="505" t="str">
        <f>IF(D138="","",ROW(A130)-COUNTBLANK($D$11:D138))</f>
        <v/>
      </c>
      <c r="C138" s="146"/>
      <c r="D138" s="146"/>
      <c r="E138" s="146"/>
      <c r="F138" s="146"/>
      <c r="G138" s="146"/>
      <c r="H138" s="146"/>
      <c r="I138" s="148"/>
      <c r="K138" s="505" t="str">
        <f>IF(M138="","",ROW(J130)-COUNTBLANK($D$11:M138))</f>
        <v/>
      </c>
      <c r="L138" s="146"/>
      <c r="M138" s="146"/>
      <c r="N138" s="146"/>
      <c r="O138" s="146"/>
      <c r="P138" s="146"/>
      <c r="Q138" s="146"/>
      <c r="R138" s="148"/>
    </row>
    <row r="139" spans="2:18" x14ac:dyDescent="0.2">
      <c r="B139" s="505" t="str">
        <f>IF(D139="","",ROW(A131)-COUNTBLANK($D$11:D139))</f>
        <v/>
      </c>
      <c r="C139" s="146"/>
      <c r="D139" s="146"/>
      <c r="E139" s="146"/>
      <c r="F139" s="146"/>
      <c r="G139" s="146"/>
      <c r="H139" s="146"/>
      <c r="I139" s="148"/>
      <c r="K139" s="505" t="str">
        <f>IF(M139="","",ROW(J131)-COUNTBLANK($D$11:M139))</f>
        <v/>
      </c>
      <c r="L139" s="146"/>
      <c r="M139" s="146"/>
      <c r="N139" s="146"/>
      <c r="O139" s="146"/>
      <c r="P139" s="146"/>
      <c r="Q139" s="146"/>
      <c r="R139" s="148"/>
    </row>
    <row r="140" spans="2:18" x14ac:dyDescent="0.2">
      <c r="B140" s="505" t="str">
        <f>IF(D140="","",ROW(A132)-COUNTBLANK($D$11:D140))</f>
        <v/>
      </c>
      <c r="C140" s="146"/>
      <c r="D140" s="146"/>
      <c r="E140" s="146"/>
      <c r="F140" s="146"/>
      <c r="G140" s="146"/>
      <c r="H140" s="146"/>
      <c r="I140" s="148"/>
      <c r="K140" s="505" t="str">
        <f>IF(M140="","",ROW(J132)-COUNTBLANK($D$11:M140))</f>
        <v/>
      </c>
      <c r="L140" s="146"/>
      <c r="M140" s="146"/>
      <c r="N140" s="146"/>
      <c r="O140" s="146"/>
      <c r="P140" s="146"/>
      <c r="Q140" s="146"/>
      <c r="R140" s="148"/>
    </row>
    <row r="141" spans="2:18" x14ac:dyDescent="0.2">
      <c r="B141" s="505" t="str">
        <f>IF(D141="","",ROW(A133)-COUNTBLANK($D$11:D141))</f>
        <v/>
      </c>
      <c r="C141" s="146"/>
      <c r="D141" s="146"/>
      <c r="E141" s="146"/>
      <c r="F141" s="146"/>
      <c r="G141" s="146"/>
      <c r="H141" s="146"/>
      <c r="I141" s="148"/>
      <c r="K141" s="505" t="str">
        <f>IF(M141="","",ROW(J133)-COUNTBLANK($D$11:M141))</f>
        <v/>
      </c>
      <c r="L141" s="146"/>
      <c r="M141" s="146"/>
      <c r="N141" s="146"/>
      <c r="O141" s="146"/>
      <c r="P141" s="146"/>
      <c r="Q141" s="146"/>
      <c r="R141" s="148"/>
    </row>
    <row r="142" spans="2:18" x14ac:dyDescent="0.2">
      <c r="B142" s="505" t="str">
        <f>IF(D142="","",ROW(A134)-COUNTBLANK($D$11:D142))</f>
        <v/>
      </c>
      <c r="C142" s="146"/>
      <c r="D142" s="146"/>
      <c r="E142" s="146"/>
      <c r="F142" s="146"/>
      <c r="G142" s="146"/>
      <c r="H142" s="146"/>
      <c r="I142" s="148"/>
      <c r="K142" s="505" t="str">
        <f>IF(M142="","",ROW(J134)-COUNTBLANK($D$11:M142))</f>
        <v/>
      </c>
      <c r="L142" s="146"/>
      <c r="M142" s="146"/>
      <c r="N142" s="146"/>
      <c r="O142" s="146"/>
      <c r="P142" s="146"/>
      <c r="Q142" s="146"/>
      <c r="R142" s="148"/>
    </row>
    <row r="143" spans="2:18" x14ac:dyDescent="0.2">
      <c r="B143" s="505" t="str">
        <f>IF(D143="","",ROW(A135)-COUNTBLANK($D$11:D143))</f>
        <v/>
      </c>
      <c r="C143" s="146"/>
      <c r="D143" s="146"/>
      <c r="E143" s="146"/>
      <c r="F143" s="146"/>
      <c r="G143" s="146"/>
      <c r="H143" s="146"/>
      <c r="I143" s="148"/>
      <c r="K143" s="505" t="str">
        <f>IF(M143="","",ROW(J135)-COUNTBLANK($D$11:M143))</f>
        <v/>
      </c>
      <c r="L143" s="146"/>
      <c r="M143" s="146"/>
      <c r="N143" s="146"/>
      <c r="O143" s="146"/>
      <c r="P143" s="146"/>
      <c r="Q143" s="146"/>
      <c r="R143" s="148"/>
    </row>
    <row r="144" spans="2:18" x14ac:dyDescent="0.2">
      <c r="B144" s="505" t="str">
        <f>IF(D144="","",ROW(A136)-COUNTBLANK($D$11:D144))</f>
        <v/>
      </c>
      <c r="C144" s="146"/>
      <c r="D144" s="146"/>
      <c r="E144" s="146"/>
      <c r="F144" s="146"/>
      <c r="G144" s="146"/>
      <c r="H144" s="146"/>
      <c r="I144" s="148"/>
      <c r="K144" s="505" t="str">
        <f>IF(M144="","",ROW(J136)-COUNTBLANK($D$11:M144))</f>
        <v/>
      </c>
      <c r="L144" s="146"/>
      <c r="M144" s="146"/>
      <c r="N144" s="146"/>
      <c r="O144" s="146"/>
      <c r="P144" s="146"/>
      <c r="Q144" s="146"/>
      <c r="R144" s="148"/>
    </row>
    <row r="145" spans="2:18" x14ac:dyDescent="0.2">
      <c r="B145" s="505" t="str">
        <f>IF(D145="","",ROW(A137)-COUNTBLANK($D$11:D145))</f>
        <v/>
      </c>
      <c r="C145" s="146"/>
      <c r="D145" s="146"/>
      <c r="E145" s="146"/>
      <c r="F145" s="146"/>
      <c r="G145" s="146"/>
      <c r="H145" s="146"/>
      <c r="I145" s="148"/>
      <c r="K145" s="505" t="str">
        <f>IF(M145="","",ROW(J137)-COUNTBLANK($D$11:M145))</f>
        <v/>
      </c>
      <c r="L145" s="146"/>
      <c r="M145" s="146"/>
      <c r="N145" s="146"/>
      <c r="O145" s="146"/>
      <c r="P145" s="146"/>
      <c r="Q145" s="146"/>
      <c r="R145" s="148"/>
    </row>
    <row r="146" spans="2:18" x14ac:dyDescent="0.2">
      <c r="B146" s="505" t="str">
        <f>IF(D146="","",ROW(A138)-COUNTBLANK($D$11:D146))</f>
        <v/>
      </c>
      <c r="C146" s="146"/>
      <c r="D146" s="146"/>
      <c r="E146" s="146"/>
      <c r="F146" s="146"/>
      <c r="G146" s="146"/>
      <c r="H146" s="146"/>
      <c r="I146" s="148"/>
      <c r="K146" s="505" t="str">
        <f>IF(M146="","",ROW(J138)-COUNTBLANK($D$11:M146))</f>
        <v/>
      </c>
      <c r="L146" s="146"/>
      <c r="M146" s="146"/>
      <c r="N146" s="146"/>
      <c r="O146" s="146"/>
      <c r="P146" s="146"/>
      <c r="Q146" s="146"/>
      <c r="R146" s="148"/>
    </row>
    <row r="147" spans="2:18" ht="13.5" thickBot="1" x14ac:dyDescent="0.25">
      <c r="B147" s="184">
        <f>COUNTA(B116:B128)-COUNTBLANK(B116:B128)</f>
        <v>2</v>
      </c>
      <c r="C147" s="150"/>
      <c r="D147" s="150"/>
      <c r="E147" s="150"/>
      <c r="F147" s="150"/>
      <c r="G147" s="150"/>
      <c r="H147" s="150"/>
      <c r="I147" s="151"/>
      <c r="K147" s="184">
        <f ca="1">COUNTA(K116:K128)-COUNTBLANK(K116:K128)</f>
        <v>2</v>
      </c>
      <c r="L147" s="150"/>
      <c r="M147" s="150"/>
      <c r="N147" s="150"/>
      <c r="O147" s="150"/>
      <c r="P147" s="150"/>
      <c r="Q147" s="150"/>
      <c r="R147" s="151"/>
    </row>
  </sheetData>
  <mergeCells count="18">
    <mergeCell ref="B115:I115"/>
    <mergeCell ref="K10:R10"/>
    <mergeCell ref="K45:R45"/>
    <mergeCell ref="K80:R80"/>
    <mergeCell ref="K115:R115"/>
    <mergeCell ref="B2:I2"/>
    <mergeCell ref="B10:I10"/>
    <mergeCell ref="B45:I45"/>
    <mergeCell ref="B80:I80"/>
    <mergeCell ref="K2:R2"/>
    <mergeCell ref="K3:R3"/>
    <mergeCell ref="K4:R4"/>
    <mergeCell ref="L5:R5"/>
    <mergeCell ref="L6:R6"/>
    <mergeCell ref="B3:I3"/>
    <mergeCell ref="B4:I4"/>
    <mergeCell ref="C5:I5"/>
    <mergeCell ref="C6:I6"/>
  </mergeCells>
  <pageMargins left="0.511811024" right="0.511811024" top="0.78740157499999996" bottom="0.78740157499999996" header="0.31496062000000002" footer="0.31496062000000002"/>
  <pageSetup paperSize="9" orientation="portrait" verticalDpi="300" r:id="rId1"/>
  <ignoredErrors>
    <ignoredError sqref="B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19</vt:i4>
      </vt:variant>
    </vt:vector>
  </HeadingPairs>
  <TitlesOfParts>
    <vt:vector size="34" baseType="lpstr">
      <vt:lpstr>LEVANTAMENTO</vt:lpstr>
      <vt:lpstr>ORÇAMENTO</vt:lpstr>
      <vt:lpstr>FÍSICO x FINANCEIRO</vt:lpstr>
      <vt:lpstr>CURVA "S"</vt:lpstr>
      <vt:lpstr>CURVA "V"</vt:lpstr>
      <vt:lpstr>FÍSICO SEMANAL</vt:lpstr>
      <vt:lpstr>Dados de Físico Semanal</vt:lpstr>
      <vt:lpstr>List_Materiais</vt:lpstr>
      <vt:lpstr>List._Materiais</vt:lpstr>
      <vt:lpstr>List_Ferramentas</vt:lpstr>
      <vt:lpstr>CUST_Geral_M_OBRA</vt:lpstr>
      <vt:lpstr>CUST_Diário_M_Obra</vt:lpstr>
      <vt:lpstr>RDO</vt:lpstr>
      <vt:lpstr>Ordem de Serviço</vt:lpstr>
      <vt:lpstr>Plan1</vt:lpstr>
      <vt:lpstr>'CURVA "S"'!Area_de_impressao</vt:lpstr>
      <vt:lpstr>'FÍSICO x FINANCEIRO'!Area_de_impressao</vt:lpstr>
      <vt:lpstr>areia</vt:lpstr>
      <vt:lpstr>argamassa</vt:lpstr>
      <vt:lpstr>cimento</vt:lpstr>
      <vt:lpstr>Diario_01</vt:lpstr>
      <vt:lpstr>Diario_02</vt:lpstr>
      <vt:lpstr>Diario_03</vt:lpstr>
      <vt:lpstr>Diario_04</vt:lpstr>
      <vt:lpstr>Diario_05</vt:lpstr>
      <vt:lpstr>Diario_06</vt:lpstr>
      <vt:lpstr>Diario_07</vt:lpstr>
      <vt:lpstr>Diario_08</vt:lpstr>
      <vt:lpstr>Diario_09</vt:lpstr>
      <vt:lpstr>Diario_10</vt:lpstr>
      <vt:lpstr>Diario_11</vt:lpstr>
      <vt:lpstr>tijolo</vt:lpstr>
      <vt:lpstr>LEVANTAMENTO!Titulos_de_impressao</vt:lpstr>
      <vt:lpstr>ORÇAMENTO!Titulos_de_impressao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cp:lastPrinted>2022-04-17T21:39:05Z</cp:lastPrinted>
  <dcterms:created xsi:type="dcterms:W3CDTF">2008-11-21T20:06:07Z</dcterms:created>
  <dcterms:modified xsi:type="dcterms:W3CDTF">2022-07-10T01:31:36Z</dcterms:modified>
</cp:coreProperties>
</file>